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235" activeTab="0"/>
  </bookViews>
  <sheets>
    <sheet name="SAB_R99" sheetId="1" r:id="rId1"/>
    <sheet name="Środki trwałe" sheetId="2" r:id="rId2"/>
    <sheet name="Ak. wł. do zb." sheetId="3" r:id="rId3"/>
    <sheet name="Akcje banku" sheetId="4" r:id="rId4"/>
    <sheet name="Zobow. dterm." sheetId="5" r:id="rId5"/>
    <sheet name="Zob. podporz." sheetId="6" r:id="rId6"/>
    <sheet name="Kapitał ak." sheetId="7" r:id="rId7"/>
    <sheet name="Poż. podporz." sheetId="8" r:id="rId8"/>
  </sheets>
  <definedNames>
    <definedName name="_xlnm.Print_Area" localSheetId="0">'SAB_R99'!$A$1:$D$1720</definedName>
  </definedNames>
  <calcPr fullCalcOnLoad="1"/>
</workbook>
</file>

<file path=xl/sharedStrings.xml><?xml version="1.0" encoding="utf-8"?>
<sst xmlns="http://schemas.openxmlformats.org/spreadsheetml/2006/main" count="1691" uniqueCount="1060">
  <si>
    <t>Rezerwy na należności od sektora finansowego razem</t>
  </si>
  <si>
    <t>31-12-1998                 rok poprzedni</t>
  </si>
  <si>
    <t>31-12-1999                rok bieżący</t>
  </si>
  <si>
    <t xml:space="preserve">   - papiery wartościowe otrzymane</t>
  </si>
  <si>
    <t>od 01-01-1998
do 31-12-1998                 rok poprzedni</t>
  </si>
  <si>
    <t>od 01-01-1999
do 31-12-1999              rok bieżący</t>
  </si>
  <si>
    <t xml:space="preserve">   - odpis z zysku na ogólne ryzyko bankowe</t>
  </si>
  <si>
    <t xml:space="preserve">   - likwidacja funduszu ogólnego ryzyka</t>
  </si>
  <si>
    <t xml:space="preserve">   - z pzeszacowania zlikwidowanego srodka trwałego</t>
  </si>
  <si>
    <t xml:space="preserve">   -likwidacja funduszu ogólnego ryzyka zgodnie z artykułem 174 Prawo Bankowe</t>
  </si>
  <si>
    <t xml:space="preserve">   - przeniesienie funduszu promocji i ochrony środowiska na kapitał zapasowy</t>
  </si>
  <si>
    <t>od 01-01-1999
do 31-12-1999                rok bieżący</t>
  </si>
  <si>
    <t>b1. jednostka/waluta 0787 / USD</t>
  </si>
  <si>
    <t xml:space="preserve"> 31-12-1998                 rok poprzedni</t>
  </si>
  <si>
    <t xml:space="preserve"> 31-12-1999                rok bieżący</t>
  </si>
  <si>
    <t xml:space="preserve">   - utworzenie wymaganej rezerwy celowej na należności</t>
  </si>
  <si>
    <t xml:space="preserve">   - umorzenie należności w ciężar rezerw</t>
  </si>
  <si>
    <t xml:space="preserve">   - rozwiązanie rezerwy celowej w związku ze spłatą kredytu</t>
  </si>
  <si>
    <t xml:space="preserve">   - bony pieniężne NBP</t>
  </si>
  <si>
    <t xml:space="preserve">   - zakup bonów i obligacji</t>
  </si>
  <si>
    <t xml:space="preserve">   - naliczone odsetki lub dyskonto</t>
  </si>
  <si>
    <t xml:space="preserve">   - sprzedaż bonów i obligacji</t>
  </si>
  <si>
    <t xml:space="preserve">   - zrealizowane odsetki lub dyskonto</t>
  </si>
  <si>
    <t xml:space="preserve">   - zakup</t>
  </si>
  <si>
    <t xml:space="preserve">   - utworzona rezerwa</t>
  </si>
  <si>
    <t xml:space="preserve">   - rozwiązanie rezerw</t>
  </si>
  <si>
    <t xml:space="preserve">   - sprzedaż</t>
  </si>
  <si>
    <t xml:space="preserve">   - zniżka wartości akcji</t>
  </si>
  <si>
    <t xml:space="preserve">   - utworzenie rezerw</t>
  </si>
  <si>
    <t xml:space="preserve">   - zwyżka wartości</t>
  </si>
  <si>
    <t xml:space="preserve">      c1) bony (wartość bilansowa)</t>
  </si>
  <si>
    <t xml:space="preserve">      c1) udziały (wartość bilansowa)</t>
  </si>
  <si>
    <t xml:space="preserve">      c2) bony (wartość bilansowa)</t>
  </si>
  <si>
    <t>TABELA RUCHU WARTOŚCI ŚRODKÓW TRWAŁYCH    (wg grup rodzajowych)</t>
  </si>
  <si>
    <t>środki trawłe razem</t>
  </si>
  <si>
    <t xml:space="preserve">    - zakupy</t>
  </si>
  <si>
    <t xml:space="preserve">    - przyjęte z inwestycji</t>
  </si>
  <si>
    <t xml:space="preserve">    - przeksięgowania</t>
  </si>
  <si>
    <t xml:space="preserve">    - likwidacje</t>
  </si>
  <si>
    <t xml:space="preserve">    - sprzedaż</t>
  </si>
  <si>
    <t xml:space="preserve">    - naliczona amortyzacja</t>
  </si>
  <si>
    <t xml:space="preserve">    - likwidacja</t>
  </si>
  <si>
    <t xml:space="preserve">   - pożyczka podporządkowana</t>
  </si>
  <si>
    <t xml:space="preserve">   - rozliczenia międzybankowe</t>
  </si>
  <si>
    <t xml:space="preserve">   - dłuznicy różni</t>
  </si>
  <si>
    <t xml:space="preserve">   - rozrachunki publiczno-prawne</t>
  </si>
  <si>
    <t xml:space="preserve">   - pozostałę</t>
  </si>
  <si>
    <t xml:space="preserve">   - utworzonej rezerwy</t>
  </si>
  <si>
    <t xml:space="preserve">   - czynsze płacone z góry</t>
  </si>
  <si>
    <t xml:space="preserve">   - pozostałe</t>
  </si>
  <si>
    <t>b2. jednostka/waluta 0789 / GBP</t>
  </si>
  <si>
    <t xml:space="preserve">   - "Ekobonus"</t>
  </si>
  <si>
    <t xml:space="preserve">   - sprzedaż </t>
  </si>
  <si>
    <t xml:space="preserve">   - odsetki</t>
  </si>
  <si>
    <t xml:space="preserve">   - wykup</t>
  </si>
  <si>
    <t xml:space="preserve">   - Fundusz Załogi</t>
  </si>
  <si>
    <t xml:space="preserve">   - Fundusz Świadczeń Socjalnych</t>
  </si>
  <si>
    <t xml:space="preserve">   - rozrachunki międzybankowe</t>
  </si>
  <si>
    <t xml:space="preserve">   - wierzyciele różni</t>
  </si>
  <si>
    <t xml:space="preserve">   - rozliczenia z tytułu wynagrodzeń</t>
  </si>
  <si>
    <t xml:space="preserve">   - rezerwa na niewykorzystane urlopy</t>
  </si>
  <si>
    <t xml:space="preserve">   - rezerwa na nagrody jubileuszowe i odprawy emerytalne</t>
  </si>
  <si>
    <t xml:space="preserve">   - rezerwa na koszty eksploatacyjne</t>
  </si>
  <si>
    <t xml:space="preserve">    - odsetki zdyskontowane od skupionych wierzytelności i faktoringu</t>
  </si>
  <si>
    <t xml:space="preserve">    - odsetki zdyskontowane od skupionych wierzytelności leasingowych</t>
  </si>
  <si>
    <t xml:space="preserve">    - odsetki skapitalizowane</t>
  </si>
  <si>
    <t xml:space="preserve">    - odsetki od kredytów pobrane z góry</t>
  </si>
  <si>
    <t xml:space="preserve">    - odsetki zdyskontowane od weksli</t>
  </si>
  <si>
    <t xml:space="preserve">    - inne</t>
  </si>
  <si>
    <t xml:space="preserve">   - odsetki zastrzeżone</t>
  </si>
  <si>
    <t xml:space="preserve">   - odsetki od należności Skarbu Państwa z tyt. Skupionych wierzytelności przed 1998 r.</t>
  </si>
  <si>
    <t xml:space="preserve">   - utworzenie rezerwy</t>
  </si>
  <si>
    <t xml:space="preserve">   - rozwiązanie rezerwy</t>
  </si>
  <si>
    <t xml:space="preserve">   - rezerwa na ryzyko ogólne</t>
  </si>
  <si>
    <t xml:space="preserve">   - utworzenie rezerwy na ogólne ryzyko</t>
  </si>
  <si>
    <t>Wartość nominalna jednej akcji = 10 zł.</t>
  </si>
  <si>
    <t>A</t>
  </si>
  <si>
    <t>O</t>
  </si>
  <si>
    <t>zwykłe</t>
  </si>
  <si>
    <t xml:space="preserve">opłacone </t>
  </si>
  <si>
    <t>09-01-91</t>
  </si>
  <si>
    <t>01-01-92</t>
  </si>
  <si>
    <t>B</t>
  </si>
  <si>
    <t>11-03-92</t>
  </si>
  <si>
    <t>01-01-93</t>
  </si>
  <si>
    <t>C</t>
  </si>
  <si>
    <t>30-12-92</t>
  </si>
  <si>
    <t>wkład 
niepieniężny</t>
  </si>
  <si>
    <t>D</t>
  </si>
  <si>
    <t>30-12-93</t>
  </si>
  <si>
    <t>01-01-94</t>
  </si>
  <si>
    <t>E</t>
  </si>
  <si>
    <t>30-06-94</t>
  </si>
  <si>
    <t>01-01-95</t>
  </si>
  <si>
    <t>I</t>
  </si>
  <si>
    <t>F</t>
  </si>
  <si>
    <t>30-12-94</t>
  </si>
  <si>
    <t>G</t>
  </si>
  <si>
    <t>30-06-95</t>
  </si>
  <si>
    <t>01-01-96</t>
  </si>
  <si>
    <t>H</t>
  </si>
  <si>
    <t>J</t>
  </si>
  <si>
    <t>21-06-96</t>
  </si>
  <si>
    <t>K</t>
  </si>
  <si>
    <t>L</t>
  </si>
  <si>
    <t>29-11-96</t>
  </si>
  <si>
    <t>M</t>
  </si>
  <si>
    <t>07-05-98</t>
  </si>
  <si>
    <t>01-01-97</t>
  </si>
  <si>
    <t xml:space="preserve">   - Fundusz z aktualizacji wyceny majątku trwałego</t>
  </si>
  <si>
    <t xml:space="preserve">   - rozliczenia z PFRON</t>
  </si>
  <si>
    <t xml:space="preserve">   - dochody uboczne</t>
  </si>
  <si>
    <t xml:space="preserve">   - korekty wyniku roku ubiegłego</t>
  </si>
  <si>
    <t xml:space="preserve">   - koszty uboczne</t>
  </si>
  <si>
    <t xml:space="preserve">   - koszty szkolenia</t>
  </si>
  <si>
    <t xml:space="preserve">   - inne wydatki socjalne</t>
  </si>
  <si>
    <t xml:space="preserve">   - deprecjacje majątku trwałego</t>
  </si>
  <si>
    <t>WARTOŚĆ ZABEZPIECZEŃ PRAWNYCH POMNIEJSZAJĄCYCH PODSTAWĘ NALICZANIA REZERW CELOWYCH NA NALEŻNOŚCI OD SEKTORA NIEFINANSOWEGO I SEKTORA BUDŻETOWEGO DOTYCZĄCE NALEŻNOŚCI</t>
  </si>
  <si>
    <t>Wartość zabezpieczeń prawnych pomniejszających podstawę naliczania rezerw na należności od sektora niefinansowego i sektora budżetowego razem</t>
  </si>
  <si>
    <t>a) normalnych</t>
  </si>
  <si>
    <t>b) pod obserwacją</t>
  </si>
  <si>
    <t>c) zagrożonych</t>
  </si>
  <si>
    <t xml:space="preserve">STAN REZERW NA NALEŻNOŚCI OD SEKTORA NIEFINANSOWEGO I SEKTORA BUDŻETOWEGO </t>
  </si>
  <si>
    <t>Rezerwy na należności od sektora niefinansowego i sektora budżetowego razem</t>
  </si>
  <si>
    <t>a) na należności pod obserwacją</t>
  </si>
  <si>
    <t>b) na należności zagrożone</t>
  </si>
  <si>
    <t xml:space="preserve">  - wątpliwe</t>
  </si>
  <si>
    <t>a) na należności normalne</t>
  </si>
  <si>
    <t>b) na należności pod obserwacją</t>
  </si>
  <si>
    <t>c) na należności zagrożone</t>
  </si>
  <si>
    <t xml:space="preserve">  - stracone</t>
  </si>
  <si>
    <t xml:space="preserve">ZMIANA STANU REZERW NA NALEŻNOŚCI OD SEKTORA NIEFINANSOWEGO I SEKTORA BUDŻETOWEGO  </t>
  </si>
  <si>
    <t>Stan rezerw na należności od sektora niefinansowego i sektora budżetowego na koniec okresu</t>
  </si>
  <si>
    <t xml:space="preserve">ZMIANA STANU REZERW NA NALEŻNOŚCI OD SEKTORA FINANSOWEGO </t>
  </si>
  <si>
    <t>Stan rezerw na należności od sektora finansowego na koniec okresu</t>
  </si>
  <si>
    <t>b) wykorzystanie (z tytułu)</t>
  </si>
  <si>
    <t>c) rozwiązanie (z tytułu)</t>
  </si>
  <si>
    <t>Nota 3</t>
  </si>
  <si>
    <t>NALEŻNOŚCI OD SEKTORA NIEFINANSOWEGO I SEKTORA BUDŻETOWEGO (WEDŁUG STRUKTURY RODZAJOWEJ)</t>
  </si>
  <si>
    <t xml:space="preserve">1. Kredyty i pożyczki </t>
  </si>
  <si>
    <t>2. Skupione wierzytelności</t>
  </si>
  <si>
    <t>3. Zrealizowane gwarancje i poręczenia</t>
  </si>
  <si>
    <t>4. Inne należności  (z tytułu)</t>
  </si>
  <si>
    <t>5. Odsetki</t>
  </si>
  <si>
    <t xml:space="preserve">   a) niezapadłe</t>
  </si>
  <si>
    <t xml:space="preserve">   b) zapadłe</t>
  </si>
  <si>
    <t xml:space="preserve">   - bony komercyjne</t>
  </si>
  <si>
    <t xml:space="preserve">   - zniżki na sprzedaży</t>
  </si>
  <si>
    <t xml:space="preserve">   - zwyżka/zniżka wartości</t>
  </si>
  <si>
    <t>6. Należności z tytułu dopłat do oprocentowanych kredytów preferencyjnych</t>
  </si>
  <si>
    <t>Należności  (brutto) od sektora niefinansowego i sektora budżetowego,  razem</t>
  </si>
  <si>
    <t>Należności (netto) od sektora niefinansowego i sektora budżetowego razem</t>
  </si>
  <si>
    <t>NALEŻNOŚCI OD SEKTORA NIEFINANSOWEGO I SEKTORA BUDŻETOWEGO (WEDŁUG TERMINÓW ZAPADALNOŚCI)</t>
  </si>
  <si>
    <t>a) do 1 miesiąca</t>
  </si>
  <si>
    <t>b) powyżej  1 miesiąca do 3 miesięcy</t>
  </si>
  <si>
    <t>c) powyżej 3 miesięcy do 1 roku</t>
  </si>
  <si>
    <t>d) powyżej 1 roku do 5 lat</t>
  </si>
  <si>
    <t>e) powyżej 5 lat</t>
  </si>
  <si>
    <t>f) dla których termin zapadalności upłynął</t>
  </si>
  <si>
    <t>Należności (brutto) od sektora niefinansowego i sektora budżetowego razem</t>
  </si>
  <si>
    <t>NALEŻNOŚCI OD SEKTORA NIEFINANSOWEGO I SEKTORA BUDŻETOWEGO (WEDŁUG PIERWOTNYCH TERMINÓW ZAPADALNOŚCI)</t>
  </si>
  <si>
    <t>NALEŻNOŚCI OD SEKTORA NIEFINANSOWEGO I SEKTORA BUDŻETOWEGO (WEDŁUG  (WEDŁUG STRUKTURY WALUTOWEJ)</t>
  </si>
  <si>
    <t>Należności od sektora niefinansowego i sektora budżetowego razem</t>
  </si>
  <si>
    <t>NALEŻNOŚCI (BRUTTO) OD SEKTORA NIEFINANSOWEGO I SEKTORA BUDŻETOWEGO</t>
  </si>
  <si>
    <t xml:space="preserve">     - poniżej standardu</t>
  </si>
  <si>
    <t xml:space="preserve">     - wątpliwe</t>
  </si>
  <si>
    <t xml:space="preserve">     - stracone</t>
  </si>
  <si>
    <t xml:space="preserve">przeznaczonych dla banków w związku z obniżeniem rezerwy obowiązkowej zostały zakupione przez BOŚ SA w/w obligacje o </t>
  </si>
  <si>
    <t xml:space="preserve">     - niezrealizowane ujemne różnice kursowe roku bieżącego                                                                    </t>
  </si>
  <si>
    <t xml:space="preserve">   - niezrealizowane dodatnie różnice kursowe roku bieżącego</t>
  </si>
  <si>
    <t xml:space="preserve">   - pozostałe </t>
  </si>
  <si>
    <t xml:space="preserve">6.  Podatek dochochodowy wykazany w rachunku zysków i strat </t>
  </si>
  <si>
    <t xml:space="preserve">  z tego :</t>
  </si>
  <si>
    <t xml:space="preserve">  - podatek dochodowy</t>
  </si>
  <si>
    <t xml:space="preserve">  - zaległość podatkowa za lata ubiegłe</t>
  </si>
  <si>
    <t xml:space="preserve">Należności (brutto) od sektora niefinansowego i sektora budżetowego razem           </t>
  </si>
  <si>
    <t>Nota 4</t>
  </si>
  <si>
    <t>NALEŻNOŚCI Z TYTUŁU ZAKUPIONYCH PAPIERÓW WARTOŚCIOWYCH Z OTRZYMANYM PRZYRZECZENIEM ODKUPU</t>
  </si>
  <si>
    <t>a) od sektora finansowego</t>
  </si>
  <si>
    <t>b) od sektora niefinansowego i sektora budżetowego</t>
  </si>
  <si>
    <t>c) odsetki</t>
  </si>
  <si>
    <t>Należności z tytułu zakupionych papierów wartościowych z otrzymanym  przyrzeczeniem odkupu razem</t>
  </si>
  <si>
    <t>Nota 5</t>
  </si>
  <si>
    <t>DŁUŻNE PAPIERY WARTOŚCIOWE</t>
  </si>
  <si>
    <t>1. Emitowane przez banki centralne, w tym:</t>
  </si>
  <si>
    <t xml:space="preserve">     - obligacje wyrażone w walutach obcych</t>
  </si>
  <si>
    <t>2. Emitowane przez pozostałe banki, w tym:</t>
  </si>
  <si>
    <t xml:space="preserve">     - wyrażone w walutach obcych</t>
  </si>
  <si>
    <t xml:space="preserve">   - utworzenie rezerwy na zobowiązania pozabilansowe</t>
  </si>
  <si>
    <t xml:space="preserve">   - rozwiązanie rezerwy na zobowiązania pozabilansowe</t>
  </si>
  <si>
    <t xml:space="preserve">   - rozliczenie "Epoki"</t>
  </si>
  <si>
    <t xml:space="preserve">   - zwrotu opłaty skarbowej i komorniczej</t>
  </si>
  <si>
    <t xml:space="preserve">   - opłaty dla KDPW</t>
  </si>
  <si>
    <t>3. Emitowane przez inne jednostki finansowe, w tym:</t>
  </si>
  <si>
    <t xml:space="preserve">    - wyrażone w walutach obcych</t>
  </si>
  <si>
    <t>4. Emitowane przez jednostki niefinansowe, w tym:</t>
  </si>
  <si>
    <t>5. Emitowane przez budżet państwa, w tym:</t>
  </si>
  <si>
    <t>6. Emitowane przez budżety terenowe, w tym:</t>
  </si>
  <si>
    <t xml:space="preserve">   - wyrażone w walutach obcych</t>
  </si>
  <si>
    <t>7. Odkupione własne dłużne papiery wartościowe</t>
  </si>
  <si>
    <t>Dłużne papiery wartościowe razem</t>
  </si>
  <si>
    <t>DŁUŻNE PAPIERY WARTOŚCIOWE (WEDŁUG RODZAJU)</t>
  </si>
  <si>
    <t>1. Emitowane przez budżet państwa, w tym:</t>
  </si>
  <si>
    <t>a) obligacje</t>
  </si>
  <si>
    <t>b) bony skarbowe</t>
  </si>
  <si>
    <t>c) inne (według rodzaju):</t>
  </si>
  <si>
    <t>2. Emitowane przez jednostkę dominującą, w tym:</t>
  </si>
  <si>
    <t>b) inne (według rodzaju):</t>
  </si>
  <si>
    <t>3. Emitowane przez jednostki zależne, w tym:</t>
  </si>
  <si>
    <t>4. Emitowane przez jednostki stowarzyszone, w tym:</t>
  </si>
  <si>
    <t>5. Emitowane przez pozostałe jednostki, w tym:</t>
  </si>
  <si>
    <t>a) operacyjne - bankowego biura maklerskiego</t>
  </si>
  <si>
    <t>b) handlowe</t>
  </si>
  <si>
    <t>c) lokacyjne</t>
  </si>
  <si>
    <t>ZMIANA STANU DŁUŻNYCH PAPIERÓW WARTOŚCIOWYCH</t>
  </si>
  <si>
    <t>a) stan na początek okresu</t>
  </si>
  <si>
    <t>b) zwiększenia (z tytułu)</t>
  </si>
  <si>
    <t>c) zmniejszenia (z tytułu)</t>
  </si>
  <si>
    <t>d) stan na koniec okresu</t>
  </si>
  <si>
    <t>Nota 6</t>
  </si>
  <si>
    <t>AKCJE I UDZIAŁY W JEDNOSTKACH ZALEŻNYCH</t>
  </si>
  <si>
    <t>a) w bankach</t>
  </si>
  <si>
    <t>b) w innych  jednostkach  finansowych</t>
  </si>
  <si>
    <t>c) w jednostkach niefinansowych</t>
  </si>
  <si>
    <t>19 800  -</t>
  </si>
  <si>
    <t xml:space="preserve">Akcje i udziały w jednostkach zależnych razem </t>
  </si>
  <si>
    <t>ZMIANA STANU AKCJI I UDZIAŁÓW  W JEDNOSTKACH ZALEŻNYCH</t>
  </si>
  <si>
    <t>Stan na początek okresu</t>
  </si>
  <si>
    <t xml:space="preserve">Stan akcji i udziałów w jednostkach zależnych na koniec okresu </t>
  </si>
  <si>
    <t>Nota 7</t>
  </si>
  <si>
    <t>AKCJE I UDZIAŁY W JEDNOSTKACH STOWARZYSZONYCH</t>
  </si>
  <si>
    <t xml:space="preserve">Akcje i udziały w jednostkach stowarzyszonych razem </t>
  </si>
  <si>
    <t>ZMIANA STANU AKCJI I UDZIAŁÓW  W JEDNOSTKACH STOWARZYSZONYCH</t>
  </si>
  <si>
    <t xml:space="preserve">Stan akcji i udziałów w jednostkach stowarzyszonych na koniec okresu </t>
  </si>
  <si>
    <t>Nota 8</t>
  </si>
  <si>
    <t>AKCJE (UDZIAŁY) W JEDNOSTKACH ZALEŻNYCH I STOWARZYSZONYCH (LOKACYJNE)</t>
  </si>
  <si>
    <t>należy zamieścić notę zamieszczoną w pliku akcje99.xls</t>
  </si>
  <si>
    <t>Nota 9</t>
  </si>
  <si>
    <t>AKCJE I UDZIAŁY W POZOSTAŁYCH JEDNOSTKACH</t>
  </si>
  <si>
    <t xml:space="preserve">Akcje i udziały w pozostałych jednostkach razem </t>
  </si>
  <si>
    <t xml:space="preserve">ZMIANA STANU AKCJI I UDZIAŁÓW  W  POZOSTAŁYCH JEDNOSTKACH </t>
  </si>
  <si>
    <t xml:space="preserve">Stan akcji i udziałów w pozostałych jednostkach na koniec okresu </t>
  </si>
  <si>
    <t xml:space="preserve">AKCJE I UDZIAŁY W  POZOSTAŁYCH JEDNOSTKACH </t>
  </si>
  <si>
    <t>należy zamieścić notę zamieszczoną w pliku akcje992.xls</t>
  </si>
  <si>
    <t>Nota 10</t>
  </si>
  <si>
    <t>POZOSTAŁE PAPIERY WARTOŚCIOWE I INNE PRAWA MAJĄTKOWE (WEDŁUG RODZAJU)</t>
  </si>
  <si>
    <t>a) jednostki uczestnictwa w funduszach powierniczych</t>
  </si>
  <si>
    <t>b) prawa poboru</t>
  </si>
  <si>
    <t>c) prawa pochodne</t>
  </si>
  <si>
    <t>d) inne (według rodzaju)</t>
  </si>
  <si>
    <t xml:space="preserve">Pozostałe papiery wartościowe i inne prawa majątkowe (według rodzaju) razem </t>
  </si>
  <si>
    <t>POZOSTAŁE PAPIERY WARTOŚCIOWE I INNE PRAWA MAJĄTKOWE</t>
  </si>
  <si>
    <t xml:space="preserve">Pozostałe papiery wartościowe i inne prawa majątkowe razem </t>
  </si>
  <si>
    <t xml:space="preserve">ZMIANA STANU POZOSTAŁYCH PAPIERÓW WARTOŚCIOWYCH I INNYCH PRAW MAJĄTKOWYCH </t>
  </si>
  <si>
    <t xml:space="preserve">Stan na koniec okresu </t>
  </si>
  <si>
    <t>Nota 11</t>
  </si>
  <si>
    <t>PAPIERY WARTOŚCIOWE, UDZIAŁY I INNE PRAWA MAJĄTKOWE</t>
  </si>
  <si>
    <t>1. Operacyjne - bankowego biura maklerskiego</t>
  </si>
  <si>
    <t>2. Handlowe</t>
  </si>
  <si>
    <t>3. Lokacyjne</t>
  </si>
  <si>
    <t xml:space="preserve">Pozostałe papiery wartościowe, udziały i inne prawa majątkowe razem </t>
  </si>
  <si>
    <t xml:space="preserve">ZMIANA STANU PAPIERÓW WARTOŚCIOWYCH, UDZIAŁÓW I INNYCH PRAW MAJĄTKOWYCH </t>
  </si>
  <si>
    <t>PAPIERY WARTOŚCIOWE, UDZIAŁY I INNE PRAWA MAJĄTKOWE (WEDŁUG STRUKTURY WALUTOWEJ)</t>
  </si>
  <si>
    <t>Papiery wartościowe, udziały i inne prawa majątkowe (według struktury walutowej) razem</t>
  </si>
  <si>
    <t>PAPIERY WARTOŚCIOWE ORAZ UDZIAŁY I JEDNOSTKI UCZESTNICTWA - HANDLOWE (WEDŁUG ZBYWALNOŚCI)</t>
  </si>
  <si>
    <t>A. Z nieograniczoną zbywalnością, notowane na giełdach (wartość bilansowa)</t>
  </si>
  <si>
    <t xml:space="preserve">      a) akcje (wartość bilansowa):</t>
  </si>
  <si>
    <t xml:space="preserve">          - wartość rynkowa</t>
  </si>
  <si>
    <t xml:space="preserve">          - wartość według cen nabycia</t>
  </si>
  <si>
    <t xml:space="preserve">      b) obligacje (wartość bilansowa):</t>
  </si>
  <si>
    <t xml:space="preserve">      c) inne - wg grup rodzajowych (wartość bilansowa):</t>
  </si>
  <si>
    <t>NALEŻNOŚCI OD SEKTORA FINANSOWEGO (WEDŁUG TERMINÓW ZAPADALNOŚCI)</t>
  </si>
  <si>
    <t>NALEŻNOŚCI OD SEKTORA FINANSOWEGO (WEDŁUG PIERWOTNYCH TERMINÓW ZAPADALNOŚCI)</t>
  </si>
  <si>
    <t>NALEŻNOŚCI (BRUTTO) OD SEKTORA FINANSOWEGO</t>
  </si>
  <si>
    <t xml:space="preserve">   - należności normalne</t>
  </si>
  <si>
    <t xml:space="preserve">   - należności pod obserwacją</t>
  </si>
  <si>
    <t>1. Zysk (strata) brutto</t>
  </si>
  <si>
    <t xml:space="preserve">B. Z nieograniczoną zbywalnością, znajdujące się w regulowanym obrocie pozagiełdowym (wartość bilansowa)  </t>
  </si>
  <si>
    <t>C. Z nieograniczoną zbywalnością, nie notowane na giełdach i nie znajdujące się w regulowanym obrocie pozagiełdowym (wartość bilansowa)</t>
  </si>
  <si>
    <t>D. Z ograniczoną zbywalnością (wartość bilansowa)</t>
  </si>
  <si>
    <t xml:space="preserve">      a) akcje i udziały (wartość bilansowa):</t>
  </si>
  <si>
    <t xml:space="preserve">          - oszacowana wartość rynkowa</t>
  </si>
  <si>
    <t>Wartość według cen nabycia razem</t>
  </si>
  <si>
    <t>Korekty aktualizujące wartość (saldo) razem</t>
  </si>
  <si>
    <t>Wartość rynkowa / oszacowana wartość rynkowa razem</t>
  </si>
  <si>
    <t>Wartość bilansowa razem</t>
  </si>
  <si>
    <t>PAPIERY WARTOŚCIOWE ORAZ UDZIAŁY I JEDNOSTKI UCZESTNICTWA - LOKACYJNE (WEDŁUG ZBYWALNOŚCI)</t>
  </si>
  <si>
    <t xml:space="preserve">          - korekty aktualizujące wartość (saldo)</t>
  </si>
  <si>
    <t xml:space="preserve">         - wartość według cen nabycia</t>
  </si>
  <si>
    <t>Nota 12</t>
  </si>
  <si>
    <t>WARTOŚCI NIEMATERIALNE I PRAWNE</t>
  </si>
  <si>
    <t>a) rozliczane w czasie koszty organizacji poniesione przy założeniu lub późniejszym  rozszerzeniu spółki akcyjnej</t>
  </si>
  <si>
    <t>b) koszty prac rozwojowych</t>
  </si>
  <si>
    <t>c) nabyta wartość firmy</t>
  </si>
  <si>
    <t xml:space="preserve">d) nabyte koncesje, patenty, licencje i podobne wartości </t>
  </si>
  <si>
    <t>e) nabyte oprogramowanie komputerowe</t>
  </si>
  <si>
    <t>f) nabyte prawa wieczystego użytkowania gruntów</t>
  </si>
  <si>
    <t>g) pozostałe wartości niematerialne i prawne</t>
  </si>
  <si>
    <t>h) zaliczki na poczet wartości niematerialnych i prawnych</t>
  </si>
  <si>
    <t>Wartości niematerialne i prawne razem</t>
  </si>
  <si>
    <t>TABELA RUCHU WARTOŚCI NIEMATERIALNYCH I PRAWNYCH (WG GRUP RODZAJOWYCH)</t>
  </si>
  <si>
    <t>należy zamieścić notę zamieszczoną w pliku wnip.xls</t>
  </si>
  <si>
    <t>Nota 13</t>
  </si>
  <si>
    <t>RZECZOWY MAJĄTEK TRWAŁY</t>
  </si>
  <si>
    <t>Rzeczowy majątek trwały</t>
  </si>
  <si>
    <t>a) środki trwałe, w tym:</t>
  </si>
  <si>
    <t xml:space="preserve">    - grunty własne i budynki zajmowane przez bank na cele własnej działalności</t>
  </si>
  <si>
    <t xml:space="preserve">    - inne grunty i budynki</t>
  </si>
  <si>
    <t xml:space="preserve">    - urządzenia</t>
  </si>
  <si>
    <t xml:space="preserve">    - środki transportu</t>
  </si>
  <si>
    <t xml:space="preserve">    - pozostałe środki trwałe</t>
  </si>
  <si>
    <t>b) inwestycje rozpoczęte</t>
  </si>
  <si>
    <t>c) zaliczki na poczet inwestycji</t>
  </si>
  <si>
    <t>Rzeczowy majątek trwały razem</t>
  </si>
  <si>
    <t>ŚRODKI TRWAŁE BILANSOWE (STRUKTURA WŁASNOŚCIOWA)</t>
  </si>
  <si>
    <t>a) własne</t>
  </si>
  <si>
    <t>b) używane na podstawie umowy najmu, dzierżawy lub innej umowy o podobnym charakterze, w tym:</t>
  </si>
  <si>
    <t>Środki trwałe bilansowe razem</t>
  </si>
  <si>
    <t xml:space="preserve">ŚRODKI TRWAŁE POZABILANSOWE </t>
  </si>
  <si>
    <t>używane na podstawie umowy najmu, dzierżawy lub innej umowy o podobnym charakterze, w tym:</t>
  </si>
  <si>
    <t xml:space="preserve">    - wartość gruntów użytkowanych wieczyście</t>
  </si>
  <si>
    <t>Środki trwałe pozabilansowe razem</t>
  </si>
  <si>
    <t>Nota 14</t>
  </si>
  <si>
    <t>Nota 15</t>
  </si>
  <si>
    <t>INNE AKTYWA</t>
  </si>
  <si>
    <t>1. Przejęte aktywa do zbycia</t>
  </si>
  <si>
    <t>2. Pozostałe, w tym:</t>
  </si>
  <si>
    <t>Inne aktywa razem</t>
  </si>
  <si>
    <t>PRZEJĘTE AKTYWA DO ZBYCIA</t>
  </si>
  <si>
    <t>1. Inwestycje</t>
  </si>
  <si>
    <t>2. Nieruchomości</t>
  </si>
  <si>
    <t>3. Zapasy</t>
  </si>
  <si>
    <t>4. Inne</t>
  </si>
  <si>
    <t>Przejęte aktywa do - zbycia razem</t>
  </si>
  <si>
    <t>ZMIANA STANU PRZEJĘTYCH AKTYWÓW DO ZBYCIA</t>
  </si>
  <si>
    <t>1. Stan na początek okresu</t>
  </si>
  <si>
    <t>2. Zwiększenia w okresie (z tytułu)</t>
  </si>
  <si>
    <t>3. Zmniejszenia w okresie (z tytułu)</t>
  </si>
  <si>
    <t>Nota 16</t>
  </si>
  <si>
    <t>ZMIANA STANU ROZLICZEŃ MIĘDZYOKRESOWYCH Z TYTUŁU ODROCZONEGO PODATKU DOCHODOWEGO</t>
  </si>
  <si>
    <t>Stan rozliczeń międzyokresowych z tytułu odroczonego podatku dochodowego na początek okresu</t>
  </si>
  <si>
    <t>Stan rozliczeń międzyokresowych z tytułu odroczonego podatku dochodowego  na koniec okresu</t>
  </si>
  <si>
    <t>POZOSTAŁE ROZLICZENIA MIĘDZYOKRESOWE</t>
  </si>
  <si>
    <t>a) czynne rozliczenia międzyokresowe kosztów, w tym:</t>
  </si>
  <si>
    <t>b) inne rozliczenia międzyokresowe, w tym:</t>
  </si>
  <si>
    <t>Rozliczenia międzyokresowe razem</t>
  </si>
  <si>
    <t>Nota 17</t>
  </si>
  <si>
    <t>ZOBOWIĄZANIA WOBEC SEKTORA FINANSOWEGO (WEDŁUG STRUKTURY RODZAJOWEJ)</t>
  </si>
  <si>
    <t>1. Środki na rachunkach i depozyty</t>
  </si>
  <si>
    <t>2.  Kredyty i pożyczki otrzymane</t>
  </si>
  <si>
    <t>3. Inne zobowiązania (z tytułu)</t>
  </si>
  <si>
    <t>4. Odsetki</t>
  </si>
  <si>
    <t xml:space="preserve">Zobowiązania wobec sektora finansowego razem </t>
  </si>
  <si>
    <t>ZOBOWIĄZANIA WOBEC SEKTORA FINANSOWEGO (WEDŁUG TERMINÓW WYMAGALNOŚCI)</t>
  </si>
  <si>
    <t>1. Zobowiązania bieżące</t>
  </si>
  <si>
    <t>2. Zobowiązania terminowe, o pozostałym od dnia bilansowego okresie spłaty:</t>
  </si>
  <si>
    <t>b) powyżej 1 miesiąca do 3 miesięcy</t>
  </si>
  <si>
    <t>f) dla których termin wymagalności upłynął</t>
  </si>
  <si>
    <t>Zobowiązania wobec sektora finansowego razem</t>
  </si>
  <si>
    <t>3. Pozostałych (z tytułu)</t>
  </si>
  <si>
    <t>ZOBOWIĄZANIA WOBEC SEKTORA FINANSOWEGO (WEDŁUG PIERWOTNYCH TERMINÓW WYMAGALNOŚCI)</t>
  </si>
  <si>
    <t>2. Zobowiązania terminowe, o okresie spłaty:</t>
  </si>
  <si>
    <t>ZOBOWIĄZANIA WOBEC SEKTORA FINANSOWEGO (WEDŁUG STRUKTURY WALUTOWEJ)</t>
  </si>
  <si>
    <t>Nota 18</t>
  </si>
  <si>
    <t>ZOBOWIĄZANIA WOBEC SEKTORA NIEFINANSOWEGO I SEKTORA BUDŻETOWEGO (WEDŁUG STRUKTURY RODZAJOWEJ)</t>
  </si>
  <si>
    <t>2. Inne zobowiązania (z tytułu)</t>
  </si>
  <si>
    <t>Zobowiązania wobec sektora niefinansowego i sektora budżetowego razem</t>
  </si>
  <si>
    <t>ZOBOWIĄZANIA WOBEC SEKTORA NIEFINANSOWEGO I SEKTORA BUDŻETOWEGO - LOKATY OSZCZĘDNOŚCIWE (WEDŁUG TERMINÓW WYMAGALNOŚCI)</t>
  </si>
  <si>
    <t>Zobowiązania wobec klientów i sektora budżetowego - lokaty oszczędnościowe razem</t>
  </si>
  <si>
    <t>ZOBOWIĄZANIA WOBEC SEKTORA NIEFINANSOWEGO I SEKTORA BUDŻETOWEGO - LOKATY OSZCZĘDNOŚCIWE (WEDŁUG PIERWOTNYCH TERMINÓW WYMAGALNOŚCI)</t>
  </si>
  <si>
    <t>ZOBOWIĄZANIA WOBEC SEKTORA NIEFINANSOWEGO I SEKTORA BUDŻETOWEGO - POZOSTAŁE (WEDŁUG TERMINÓW WYMAGALNOŚCI)</t>
  </si>
  <si>
    <t xml:space="preserve">Zobowiązania wobec sektora niefinansowego i sektora budżetowego - pozostałe razem </t>
  </si>
  <si>
    <t>6. Podatek dochodowy według stawki 34 i 36%</t>
  </si>
  <si>
    <t xml:space="preserve">  - rezerwa na straty z tytułu likwidacji Banku Staropolskiego</t>
  </si>
  <si>
    <t xml:space="preserve">  - inne przejściowe różnice</t>
  </si>
  <si>
    <t>61 756  -</t>
  </si>
  <si>
    <t>Podział zysku netto za 1999 rok w kwocie 96 526 tysięcy złotych przedstawia się następująco :</t>
  </si>
  <si>
    <t xml:space="preserve">   - rezerwa na straty z tytułu likwidacji Banku Staropolskiego</t>
  </si>
  <si>
    <t>ZOBOWIĄZANIA WOBEC SEKTORA NIEFINANSOWEGO I SEKTORA BUDŻETOWEGO - POZOSTAŁE (WEDŁUG  PIERWOTNYCH TERMINÓW WYMAGALNOŚCI)</t>
  </si>
  <si>
    <t>ZOBOWIĄZANIA WOBEC SEKTORA NIEFINANSOWEGO I SEKTORA BUDŻETOWEGO (WEDŁUG STRUKTURY WALUTOWEJ)</t>
  </si>
  <si>
    <t>Nota 19</t>
  </si>
  <si>
    <t>ZOBOWIĄZANIA Z TYTUŁU SPRZEDANYCH PAPIERÓW WARTOŚCIOWYCH Z UDZIELONYM PRZYRZECZENIEM ODKUPU</t>
  </si>
  <si>
    <t>a) wobec sektora finansowego</t>
  </si>
  <si>
    <t>b) wobec sektora niefinansowego i sektora budżetowego</t>
  </si>
  <si>
    <t>Zobowiązania z tytułu sprzedanych papierów wartościowych z  udzielonym przyrzeczeniem odkupu razem</t>
  </si>
  <si>
    <t>Nota 20</t>
  </si>
  <si>
    <t>ZOBOWIĄZANIA Z TYTUŁU EMISJI WŁASNYCH PAPIERÓW WARTOŚCIOWYCH</t>
  </si>
  <si>
    <t>1. Obligacji</t>
  </si>
  <si>
    <t>2. Certyfikatów</t>
  </si>
  <si>
    <t>Zobowiązania z tytułu emisji własnych papierów wartościowych razem</t>
  </si>
  <si>
    <t>ZMIANA STANU ZOBOWIĄZAŃ Z TYTUŁU EMISJI WŁASNYCH PAPIERÓW WARTOŚCIOWYCH</t>
  </si>
  <si>
    <t>Stan na koniec okresu</t>
  </si>
  <si>
    <t>Nota 21</t>
  </si>
  <si>
    <t>FUNDUSZE SPECJALNE I INNE PASYWA</t>
  </si>
  <si>
    <t>1. Fundusze specjalne (z tytułu)</t>
  </si>
  <si>
    <t>2. Inne pasywa (z tytułu)</t>
  </si>
  <si>
    <t>Fundusze specjalne i inne pasywa razem</t>
  </si>
  <si>
    <t>Nota 22</t>
  </si>
  <si>
    <t>KOSZTY I PRZYCHODY ROZLICZANE W CZASIE ORAZ ZASTRZEŻONE</t>
  </si>
  <si>
    <t>a) bierne rozliczenia międzyokresowe kosztów, w tym:</t>
  </si>
  <si>
    <t>b) przychody przyszłych okresów, w tym:</t>
  </si>
  <si>
    <t xml:space="preserve">    - niezrealizowane różnice kursowe</t>
  </si>
  <si>
    <t>c) przychody zastrzeżone (z tytułu)</t>
  </si>
  <si>
    <t>Koszty i przychody rozliczane w czasie oraz zastrzeżone razem</t>
  </si>
  <si>
    <t>Nota 23</t>
  </si>
  <si>
    <t>ZMIANA STANU REZERW NA PODATEK DOCHODOWY</t>
  </si>
  <si>
    <t>Stan rezerw na podatek dochodowy na początek okresu</t>
  </si>
  <si>
    <t>Stan rezerw na podatek dochodowy na koniec okresu</t>
  </si>
  <si>
    <t>POZOSTAŁE REZERWY (WG TYTUŁÓW), W TYM:</t>
  </si>
  <si>
    <t xml:space="preserve">   - na pozabilansowe zobowiązania warunkowe</t>
  </si>
  <si>
    <t>Pozostałe rezerwy razem</t>
  </si>
  <si>
    <t>ZMIANA STANU POZOSTAŁYCH REZERW</t>
  </si>
  <si>
    <t>Stan rezerw na początek okresu</t>
  </si>
  <si>
    <t>Stan rezerw na koniec okresu razem</t>
  </si>
  <si>
    <t>Nota 24</t>
  </si>
  <si>
    <t>ZMIANA STANU  ZOBOWIĄZAŃ PODPORZĄDKOWANYCH</t>
  </si>
  <si>
    <t>Stan zobowiązań podporządkowanych na koniec okresu</t>
  </si>
  <si>
    <t>Nota 25</t>
  </si>
  <si>
    <t>Nota 26</t>
  </si>
  <si>
    <t>KAPITAŁ ZAPASOWY</t>
  </si>
  <si>
    <t>a) ze sprzedaży akcji powyżej ich wartości nominalnej</t>
  </si>
  <si>
    <t>b) utworzony ustawowo</t>
  </si>
  <si>
    <t>c) utworzony zgodnie ze statutem  ponad wymaganą ustawowo (minimalną) wartość</t>
  </si>
  <si>
    <t>d) z dopłat akcjonariuszy</t>
  </si>
  <si>
    <t>e) inny</t>
  </si>
  <si>
    <t>Kapitał zapasowy razem</t>
  </si>
  <si>
    <t>Nota 27</t>
  </si>
  <si>
    <t>POZOSTAŁE KAPITAŁY REZERWOWE (WEDŁUG CELU PRZEZNACZENIA), W TYM:</t>
  </si>
  <si>
    <t xml:space="preserve">   - Fundusz ogólnego ryzyka bankowego</t>
  </si>
  <si>
    <t xml:space="preserve">   - Fundusz na działalność maklerską</t>
  </si>
  <si>
    <t>Pozostałe kapitały rezerwowe razem</t>
  </si>
  <si>
    <t>Nota 28</t>
  </si>
  <si>
    <t>NIEPODZIELONY ZYSK LUB NIEPOKRYTA STRATA Z LAT UBIEGŁYCH</t>
  </si>
  <si>
    <t>a) niepodzielony zysk (wartość dodatnia)</t>
  </si>
  <si>
    <t>b) niepokryta strata (wartość ujemna)</t>
  </si>
  <si>
    <t>Niepodzielony zysk lub niepokryta strata z lat ubiegłych</t>
  </si>
  <si>
    <t>Nota 29</t>
  </si>
  <si>
    <t>Nota 30</t>
  </si>
  <si>
    <t>7. Rezerwa utworzona na należności od sektora finansowego (wielkość ujemna)</t>
  </si>
  <si>
    <t>4. Odsetki:</t>
  </si>
  <si>
    <t xml:space="preserve">  a)  niezapadłe</t>
  </si>
  <si>
    <t xml:space="preserve">  b) zapadłe</t>
  </si>
  <si>
    <t xml:space="preserve">   - od należności normalnych i pod obserwacją</t>
  </si>
  <si>
    <t xml:space="preserve">   - od należności zagrożonych</t>
  </si>
  <si>
    <t>Stan rezerw na należności od sektora finansowego na początek okresu</t>
  </si>
  <si>
    <t>7. Rezerwa utworzona na należności od sektora niefinansowego i sektora budżetowego (wielkość ujemna)</t>
  </si>
  <si>
    <t>1. Należności normalne</t>
  </si>
  <si>
    <t>2. Należności pod obserwacją</t>
  </si>
  <si>
    <t>Stan rezerw na należności od sektora niefinansowego i sektora budżetowego  na początek okresu</t>
  </si>
  <si>
    <t>POZABILANSOWE ZOBOWIĄZANIA WARUNKOWE</t>
  </si>
  <si>
    <t>Gwarancje i poręczenia udzielone na rzecz:</t>
  </si>
  <si>
    <t>a) jednostek zależnych</t>
  </si>
  <si>
    <t>b) jednostek stowarzyszonych</t>
  </si>
  <si>
    <t>c) jednostki dominującej</t>
  </si>
  <si>
    <t>d) pozostałych jednostek</t>
  </si>
  <si>
    <t>Udzielone gwarancje i poręczenia razem</t>
  </si>
  <si>
    <t>NOTY OBJAŚNIAJĄCE DO RACHUNKU ZYSKÓW I STRAT</t>
  </si>
  <si>
    <t>Nota 31</t>
  </si>
  <si>
    <t>PRZYCHODY Z TYTUŁU ODSETEK</t>
  </si>
  <si>
    <t>1. Od sektora finansowego</t>
  </si>
  <si>
    <t>2. Od sektora niefinansowego i sektora budżetowego</t>
  </si>
  <si>
    <t>3. Od papierów wartościowych, w tym:</t>
  </si>
  <si>
    <t xml:space="preserve">     a) o stałej kwocie dochodu</t>
  </si>
  <si>
    <t xml:space="preserve">     b) o zmiennej kwocie dochodu</t>
  </si>
  <si>
    <t>4. Pozostałe</t>
  </si>
  <si>
    <t xml:space="preserve">     - zrealizowane dodatnie różnice kursowe z lat ubiegłych                                                                  </t>
  </si>
  <si>
    <t xml:space="preserve">   - zrealizowane ujemne różnice kursowe z lat ubiegłych</t>
  </si>
  <si>
    <t>Przychody z tytułu odsetek razem</t>
  </si>
  <si>
    <t>Nota 32</t>
  </si>
  <si>
    <t>KOSZTY ODSETEK</t>
  </si>
  <si>
    <t>1. Od operacji z sektorem finansowym</t>
  </si>
  <si>
    <t xml:space="preserve">2. Od operacji z sektorem niefinansowym i z sektorem budżetowym </t>
  </si>
  <si>
    <t>3. Pozostałe</t>
  </si>
  <si>
    <t>Koszty odsetek razem</t>
  </si>
  <si>
    <t>Nota 33</t>
  </si>
  <si>
    <t>PRZYCHODY Z TYTUŁU PROWIZJI</t>
  </si>
  <si>
    <t>1. Prowizje z tytułu działalności bankowej</t>
  </si>
  <si>
    <t>2. Prowizje z tytułu działalności maklerskiej</t>
  </si>
  <si>
    <t>Przychody z tytułu prowizji razem</t>
  </si>
  <si>
    <t>Nota 34</t>
  </si>
  <si>
    <t>PRZYCHODY  Z AKCJI I UDZIAŁÓW, POZOSTAŁYCH PAPIERÓW WARTOŚCIOWYCH I INNYCH PRAW MAJĄTKOWYCH</t>
  </si>
  <si>
    <t>1. Od jednostek zależnych</t>
  </si>
  <si>
    <t>2. Od jednostek stowarzyszonych</t>
  </si>
  <si>
    <t>3. Od pozostałych jednostek</t>
  </si>
  <si>
    <t>Przychody  z akcji i udziałów, pozostałych papierów wartościowych i innych praw majątkowych razem</t>
  </si>
  <si>
    <t>Nota 35</t>
  </si>
  <si>
    <t>WYNIK NA OPERACJACH FINANSOWYCH</t>
  </si>
  <si>
    <t>1. Wynik na operacjach finansowych papierami wartościowymi</t>
  </si>
  <si>
    <t xml:space="preserve">     a)  przychody z operacji papierami wartościowymi</t>
  </si>
  <si>
    <t xml:space="preserve">     b) koszty operacji papierami wartościowymi</t>
  </si>
  <si>
    <t>2. Wynik na pozostałych operacjach finansowych</t>
  </si>
  <si>
    <t>Wynik na operacjach finansowych razem</t>
  </si>
  <si>
    <t>Nota 36</t>
  </si>
  <si>
    <t>POZOSTAŁE PRZYCHODY OPERACYJNE</t>
  </si>
  <si>
    <t>a) z tytułu działalności zarządzania majątkiem osób trzecich</t>
  </si>
  <si>
    <t>b) z tytułu sprzedaży lub likwidacji składników majątku trwałego i aktywów do zbycia</t>
  </si>
  <si>
    <t>c) z tytułu odzyskanych należności nieściągalnych</t>
  </si>
  <si>
    <t>d) otrzymane odszkodowania, kary i grzywny</t>
  </si>
  <si>
    <t>e) otrzymane darowizny</t>
  </si>
  <si>
    <t>f) inne (z tytułu)</t>
  </si>
  <si>
    <t>Pozostałe przychody operacyjne razem</t>
  </si>
  <si>
    <t>Nota 37</t>
  </si>
  <si>
    <t>POZOSTAŁE KOSZTY OPERACYJNE</t>
  </si>
  <si>
    <t>c) z tytułu odpisanych należności</t>
  </si>
  <si>
    <t xml:space="preserve">d) zapłacone odszkodowania, kary i grzywny </t>
  </si>
  <si>
    <t>e) przekazane darowizny</t>
  </si>
  <si>
    <t>f) z tytułu nieplanowych odpisów amortyzacyjnych</t>
  </si>
  <si>
    <t>g) inne (z tytułu)</t>
  </si>
  <si>
    <t>Pozostałe koszty operacyjne razem</t>
  </si>
  <si>
    <t>Nota 38</t>
  </si>
  <si>
    <t>KOSZTY DZIAŁANIA BANKU</t>
  </si>
  <si>
    <t>1. Wynagrodzenia</t>
  </si>
  <si>
    <t>2. Świadczenia na rzecz pracowników</t>
  </si>
  <si>
    <t>3. Koszty rzeczowe</t>
  </si>
  <si>
    <t>4. Podatki i opłaty</t>
  </si>
  <si>
    <t>5. Składka i wpłaty na Bankowy Fundusz Gwarancyjny</t>
  </si>
  <si>
    <t>6. Pozostałe (z tytułu)</t>
  </si>
  <si>
    <t>Koszty działania banku razem</t>
  </si>
  <si>
    <t>Nota 39</t>
  </si>
  <si>
    <t>ODPISY NA REZERWY I AKTUALIZACJA WARTOŚCI</t>
  </si>
  <si>
    <t xml:space="preserve">1. Odpisy na rezerwy na: </t>
  </si>
  <si>
    <t xml:space="preserve">   - należności zagrożone</t>
  </si>
  <si>
    <t xml:space="preserve">   - zobowiązania pozabilansowe</t>
  </si>
  <si>
    <t xml:space="preserve">   - ogólne ryzyko bankowe</t>
  </si>
  <si>
    <t xml:space="preserve">   - inne</t>
  </si>
  <si>
    <t>2. Aktualizacja wartości:</t>
  </si>
  <si>
    <t xml:space="preserve">   - z tytułu deprecjacji majątku finansowego</t>
  </si>
  <si>
    <t>Odpisy na rezerwy i aktualizacja wartości razem</t>
  </si>
  <si>
    <t>Nota 40</t>
  </si>
  <si>
    <t>ROZWIĄZANIE REZERW I ZMNIEJSZENIA DOTYCZĄCE AKTUALIZACJI WARTOŚCI</t>
  </si>
  <si>
    <t xml:space="preserve">1. Rozwiązanie rezerw na: </t>
  </si>
  <si>
    <t>2. Zmniejszenia odpisów dotyczących aktualizcji wartości:</t>
  </si>
  <si>
    <t xml:space="preserve">   - majątku finansowego</t>
  </si>
  <si>
    <t>Rozwiązanie rezerw i zmniejszenia dotyczące aktualizacji wartości razem</t>
  </si>
  <si>
    <t>Nota 41</t>
  </si>
  <si>
    <t>ZYSKI NADZWYCZAJNE</t>
  </si>
  <si>
    <t xml:space="preserve">a) losowe </t>
  </si>
  <si>
    <t>b) pozostałe (z tytułu)</t>
  </si>
  <si>
    <t>Zyski nadzwyczajne razem</t>
  </si>
  <si>
    <t>Nota 42</t>
  </si>
  <si>
    <t>STRATY NADZWYCZAJNE</t>
  </si>
  <si>
    <t>Straty nadzwyczajne razem</t>
  </si>
  <si>
    <t>Nota 43</t>
  </si>
  <si>
    <t>PODATEK DOCHODOWY</t>
  </si>
  <si>
    <t>2. Trwałe różnice pomiędzy zyskiem (stratą) brutto a dochodem do opodatkowania podatkiem dochodowym</t>
  </si>
  <si>
    <t>3. Przejściowe różnice pomiędzy zyskiem brutto a dochodem do opodatkowania podatkiem dochodowym</t>
  </si>
  <si>
    <t xml:space="preserve">4. Inne różnice pomiędzy zyskiem brutto a dochodem do opodatkowania podatkiem dochodowym, w tym: </t>
  </si>
  <si>
    <t xml:space="preserve">   - straty z lat ubiegłych</t>
  </si>
  <si>
    <t xml:space="preserve">5. Podstawa opodatkowania podatkiem dochodowym </t>
  </si>
  <si>
    <t>7. Zaniechania, zwolnienia, odliczenia i obniżki podatku</t>
  </si>
  <si>
    <t>8. Podatek dochodowy należny</t>
  </si>
  <si>
    <t>9. Rezerwa na podatek dochodowy</t>
  </si>
  <si>
    <t xml:space="preserve">   - stan na początek okresu</t>
  </si>
  <si>
    <t xml:space="preserve">   - zwiększenie</t>
  </si>
  <si>
    <t xml:space="preserve">   - zmniejszenie</t>
  </si>
  <si>
    <t xml:space="preserve">   - stan na koniec okresu</t>
  </si>
  <si>
    <t>10. Rozliczenia międzyokresowe z tytułu odroczonego podatku dochodowego</t>
  </si>
  <si>
    <t>11. Podatek dochodowy współmierny do zysku (straty) brutto, wykazany w rachunku zysków i strat</t>
  </si>
  <si>
    <t>Nota 44</t>
  </si>
  <si>
    <t>POZOSTAŁE OBOWIĄZKOWE ZMNIEJSZENIA ZYSKU (ZWIĘKSZENIA STRATY)</t>
  </si>
  <si>
    <t>Pozostałe obowiązkowe zmniejszenia zysku (zwiększenia straty), z tytułu:</t>
  </si>
  <si>
    <t>Pozostałe obowiązkowe zmniejszenia zysku (zwiększenia straty) razem</t>
  </si>
  <si>
    <t>Nota 45</t>
  </si>
  <si>
    <t>NOTY OBJAŚNIAJĄCE DO RACHUNKU PRZEPŁYWU ŚRODKÓW PIENIĘŻNYCH</t>
  </si>
  <si>
    <t>Nota 46</t>
  </si>
  <si>
    <t>grunty własne i budynki zajmowane przez bank na cele własnej działalności</t>
  </si>
  <si>
    <t>inne grunty i budynki</t>
  </si>
  <si>
    <t>urządzenia</t>
  </si>
  <si>
    <t>środki transportu</t>
  </si>
  <si>
    <t>pozostałe środki trawłe</t>
  </si>
  <si>
    <t xml:space="preserve">a) wartość brutto środków trawłych na początek okresu                         </t>
  </si>
  <si>
    <t>d) wartość brutto środków trawłych na koniec okresu</t>
  </si>
  <si>
    <t>e) skumulowana amortyzacja (umorzenie) na początek okresu</t>
  </si>
  <si>
    <t>f) amortyzacja za okres (z tytułu)</t>
  </si>
  <si>
    <t>g) skumulowana amortyzacja (umorzenie) na koniec okresu</t>
  </si>
  <si>
    <r>
      <t xml:space="preserve"> </t>
    </r>
    <r>
      <rPr>
        <b/>
        <u val="single"/>
        <sz val="9"/>
        <color indexed="8"/>
        <rFont val="Times New Roman CE"/>
        <family val="1"/>
      </rPr>
      <t>Dane objaśniające sposób obliczenia zysku na jedną akcję zwykłą.</t>
    </r>
  </si>
  <si>
    <t xml:space="preserve">Zysk netto </t>
  </si>
  <si>
    <t>Zysk na jedną akcję w złotych</t>
  </si>
  <si>
    <r>
      <t xml:space="preserve"> </t>
    </r>
    <r>
      <rPr>
        <b/>
        <u val="single"/>
        <sz val="9"/>
        <color indexed="8"/>
        <rFont val="Times New Roman CE"/>
        <family val="1"/>
      </rPr>
      <t>Dane objaśniające sposób obliczenia rozwodnionego  zysku na jedną akcję zwykłą.</t>
    </r>
  </si>
  <si>
    <t>Rozwodniony zysk na 1 akcję zwykłą ustalono przyjmując za podstawę :</t>
  </si>
  <si>
    <t xml:space="preserve">Średnia ważona przewidywana liczba akcji zwykłych </t>
  </si>
  <si>
    <t>uprawnionych do dywidendy</t>
  </si>
  <si>
    <t xml:space="preserve">Zysk na jedną akcję (w złotych) </t>
  </si>
  <si>
    <t xml:space="preserve">     - kapitał zapasowy</t>
  </si>
  <si>
    <t xml:space="preserve">     - kapitał rezerwowy ( fundusz ogólnego ryzyka )</t>
  </si>
  <si>
    <t xml:space="preserve">     - dywidenda</t>
  </si>
  <si>
    <t xml:space="preserve">     - fundusz załogi</t>
  </si>
  <si>
    <t xml:space="preserve">     - fundusz nagród dla członków Rady Banku</t>
  </si>
  <si>
    <t>h) wartość netto środków trawłych na koniec okresu</t>
  </si>
  <si>
    <t>AKCJE WŁASNE DO ZBYCIA</t>
  </si>
  <si>
    <t>a</t>
  </si>
  <si>
    <t>b</t>
  </si>
  <si>
    <t>c</t>
  </si>
  <si>
    <t>d</t>
  </si>
  <si>
    <t>e</t>
  </si>
  <si>
    <t>liczba</t>
  </si>
  <si>
    <t>wartość wg ceny nabycia</t>
  </si>
  <si>
    <t>wartość bilansowa</t>
  </si>
  <si>
    <t>cel nabycia</t>
  </si>
  <si>
    <t>przeznaczenie</t>
  </si>
  <si>
    <t>AKCJE BANKU BĘDĄCE WŁASNOŚCIĄ JEDNOSTEK ZALEŻNYCH</t>
  </si>
  <si>
    <t>nazwa (firma) jednostki</t>
  </si>
  <si>
    <t>liczba akcji</t>
  </si>
  <si>
    <t>ZOBOWIĄZANIA DŁUGOTERMINOWE Z TYT. WYEMITOWANYCH DŁUŻNYCH PAPIERÓW WARTOŚCIOWYCH</t>
  </si>
  <si>
    <t>f</t>
  </si>
  <si>
    <t>dłużne papiery wartościowe wg rodzaju</t>
  </si>
  <si>
    <t>wartość nominalna</t>
  </si>
  <si>
    <t>warunki oprocentowania</t>
  </si>
  <si>
    <t>termin wykupu</t>
  </si>
  <si>
    <t>gwarancje / zabezpieczenia</t>
  </si>
  <si>
    <t>dodatkowe prawa</t>
  </si>
  <si>
    <t>ZOBOWIĄZANIA PODPORZĄDKOWANE</t>
  </si>
  <si>
    <t>1.</t>
  </si>
  <si>
    <t>2.</t>
  </si>
  <si>
    <t>3.</t>
  </si>
  <si>
    <t>4.</t>
  </si>
  <si>
    <t>5.</t>
  </si>
  <si>
    <t>6.</t>
  </si>
  <si>
    <t>Nazwa podmiotu</t>
  </si>
  <si>
    <t>Wartość pożyczki</t>
  </si>
  <si>
    <t xml:space="preserve">Warunki </t>
  </si>
  <si>
    <t>Termin</t>
  </si>
  <si>
    <t>Stan zobowiązań</t>
  </si>
  <si>
    <t>Odsetki</t>
  </si>
  <si>
    <t>waluta</t>
  </si>
  <si>
    <t>tys. zł.</t>
  </si>
  <si>
    <t>oprocentowania</t>
  </si>
  <si>
    <t>wymagalności</t>
  </si>
  <si>
    <t>podporządkowanych</t>
  </si>
  <si>
    <t>KAPITAŁ AKCYJNY</t>
  </si>
  <si>
    <t xml:space="preserve">Seria / </t>
  </si>
  <si>
    <t>Rodzaj</t>
  </si>
  <si>
    <t xml:space="preserve">Rodzaj </t>
  </si>
  <si>
    <t>Liczba</t>
  </si>
  <si>
    <t>Wartość</t>
  </si>
  <si>
    <t xml:space="preserve">Sposób pokrycia </t>
  </si>
  <si>
    <t>Data</t>
  </si>
  <si>
    <t>Prawo do</t>
  </si>
  <si>
    <t>emisja</t>
  </si>
  <si>
    <t>akcji</t>
  </si>
  <si>
    <t>uprzywilejowania</t>
  </si>
  <si>
    <t>serii / emisji</t>
  </si>
  <si>
    <t>kapitału</t>
  </si>
  <si>
    <t>rejestracji</t>
  </si>
  <si>
    <t>dywidendy</t>
  </si>
  <si>
    <t>Liczba akcji razem</t>
  </si>
  <si>
    <t>Kapitał akcyjny razem</t>
  </si>
  <si>
    <t>POŻYCZKI PODPORZĄDKOWANE</t>
  </si>
  <si>
    <t>Nazwa jednostki</t>
  </si>
  <si>
    <t>BILANS</t>
  </si>
  <si>
    <t>stan na dzień</t>
  </si>
  <si>
    <t>Nota</t>
  </si>
  <si>
    <t>AKTYWA</t>
  </si>
  <si>
    <t>I. Kasa, operacje z bankiem centralnym</t>
  </si>
  <si>
    <t xml:space="preserve">II. Dłużne papiery wartościowe uprawnione do redyskontowania w banku centralnym </t>
  </si>
  <si>
    <t>III. Należności od sektora finansowego</t>
  </si>
  <si>
    <t xml:space="preserve">   1. W rachunku bieżącym</t>
  </si>
  <si>
    <t xml:space="preserve">   2. Terminowe</t>
  </si>
  <si>
    <t>IV. Należności od sektora niefinansowego i sektora budżetowego</t>
  </si>
  <si>
    <t>V. Należności z tytułu zakupionych papierów wartościowych z otrzymanym przyrzeczeniem odkupu</t>
  </si>
  <si>
    <t>VI. Dłużne papiery wartościowe</t>
  </si>
  <si>
    <t>5, 11</t>
  </si>
  <si>
    <t xml:space="preserve">VII. Akcje i udziały w jednostkach zależnych </t>
  </si>
  <si>
    <t>6, 8, 11</t>
  </si>
  <si>
    <t xml:space="preserve">VIII. Akcje i udziały w jednostkach stowarzyszonych </t>
  </si>
  <si>
    <t>7, 8, 11</t>
  </si>
  <si>
    <t>IX. Akcje i udziały w pozostałych jednostkach</t>
  </si>
  <si>
    <t>9, 11</t>
  </si>
  <si>
    <t>X. Pozostałe papiery wartościowe i inne prawa majątkowe</t>
  </si>
  <si>
    <t>10, 11</t>
  </si>
  <si>
    <t>XI. Wartości niematerialne i prawne</t>
  </si>
  <si>
    <t>XII. Rzeczowy majątek trwały</t>
  </si>
  <si>
    <t>XIII. Akcje własne do zbycia</t>
  </si>
  <si>
    <t>XIV. Inne aktywa</t>
  </si>
  <si>
    <t xml:space="preserve">      12. Zmiana stanu akcji, udziałów i innych papierów wartościowych o zmiennej kwocie dochodu</t>
  </si>
  <si>
    <t xml:space="preserve">      13. Zmiana stanu zobowiązań wobec sektora finansowego</t>
  </si>
  <si>
    <t xml:space="preserve">      14. Zmiana stanu zobowiązań wobec sektora niefinansowego i sektora budżetowego</t>
  </si>
  <si>
    <t xml:space="preserve">      15. Zmiana stanu zobowiązań z tytułu sprzedanych papierów wartościowych z udzielonym przyrzeczeniem odkupu</t>
  </si>
  <si>
    <t xml:space="preserve">      16. Zmiana stanu zobowiązań z tytułu papierów wartościowych</t>
  </si>
  <si>
    <t xml:space="preserve">      17. Zmiana stanu innych zobowiązań</t>
  </si>
  <si>
    <t xml:space="preserve">      18. Zmiana stanu rozliczeń międzyokresowych</t>
  </si>
  <si>
    <t xml:space="preserve">      19. Zmiana stanu przychodów przyszłych okresów</t>
  </si>
  <si>
    <t xml:space="preserve">      20. Pozostałe korekty</t>
  </si>
  <si>
    <t xml:space="preserve">   1. Przejęte aktywa -  do zbycia</t>
  </si>
  <si>
    <t xml:space="preserve">   2. Pozostałe</t>
  </si>
  <si>
    <t xml:space="preserve">XV. Rozliczenia międzyokresowe </t>
  </si>
  <si>
    <t xml:space="preserve">   1. Z tytułu odroczonego podatku dochodowego</t>
  </si>
  <si>
    <t xml:space="preserve">   2. Pozostałe rozliczenia międzyokresowe</t>
  </si>
  <si>
    <t>AKTYWA RAZEM</t>
  </si>
  <si>
    <t>PASYWA</t>
  </si>
  <si>
    <t>I. Zobowiązania wobec banku centralnego</t>
  </si>
  <si>
    <t>II. Zobowiązania wobec sektora finansowego</t>
  </si>
  <si>
    <t xml:space="preserve">   1. Bieżące</t>
  </si>
  <si>
    <t>III. Zobowiązania wobec sektora niefinansowego i sektora budżetowego</t>
  </si>
  <si>
    <t xml:space="preserve">   1. Lokaty oszczędnościowe, w tym: </t>
  </si>
  <si>
    <t xml:space="preserve">      a) bieżące</t>
  </si>
  <si>
    <t xml:space="preserve">      b) terminowe</t>
  </si>
  <si>
    <t xml:space="preserve">   2. Pozostałe, w tym:</t>
  </si>
  <si>
    <t>IV. Zobowiązania z tytułu sprzedanych papierów wartościowych z udzielonym przyrzeczeniem odkupu</t>
  </si>
  <si>
    <t>V. Zobowiązania z tytułu emisji własnych papierów wartościowych</t>
  </si>
  <si>
    <t>VI. Fundusze specjalne i inne pasywa</t>
  </si>
  <si>
    <t>VII. Koszty i przychody rozliczane w czasie oraz zastrzeżone</t>
  </si>
  <si>
    <t>VIII. Rezerwy</t>
  </si>
  <si>
    <t xml:space="preserve">   1. Rezerwy na podatek dochodowy</t>
  </si>
  <si>
    <t xml:space="preserve">   2. Pozostałe rezerwy</t>
  </si>
  <si>
    <t>IX. Zobowiązania podporządkowane</t>
  </si>
  <si>
    <t>X. Kapitał akcyjny</t>
  </si>
  <si>
    <t xml:space="preserve">XI. Należne wpłaty na poczet kapitału akcyjnego (wielkość ujemna) </t>
  </si>
  <si>
    <t>XII. Kapitał zapasowy</t>
  </si>
  <si>
    <t xml:space="preserve">XIII. Kapitał rezerwowy z aktualizacji wyceny </t>
  </si>
  <si>
    <t>XIV. Pozostałe kapitały rezerwowe</t>
  </si>
  <si>
    <t>XV. Różnice kursowe z przeliczenia oddziałów zagranicznych</t>
  </si>
  <si>
    <t>Zysk (strata) na jedną akcję zwykłą  w zł )</t>
  </si>
  <si>
    <t>XVI. Niepodzielony zysk lub niepokryta strata z lat ubiegłych</t>
  </si>
  <si>
    <t xml:space="preserve">XVII. Zysk (strata) netto </t>
  </si>
  <si>
    <t>PASYWA RAZEM</t>
  </si>
  <si>
    <t>Współczynnik wypłacalności</t>
  </si>
  <si>
    <t>NOTY OBJAŚNIAJĄCE DO BILANSU</t>
  </si>
  <si>
    <t xml:space="preserve">Wartość księgowa </t>
  </si>
  <si>
    <t>Liczba akcji</t>
  </si>
  <si>
    <t>Wartość księgowa na jedną akcję ( w zł)</t>
  </si>
  <si>
    <t xml:space="preserve">Przewidywana liczba akcji </t>
  </si>
  <si>
    <t>Rozwodniona wartość księgowa  na jedną akcję (w zł)</t>
  </si>
  <si>
    <t>POZYCJE POZABILANSOWE</t>
  </si>
  <si>
    <t xml:space="preserve"> </t>
  </si>
  <si>
    <t>I. Pozabilansowe zobowiązania warunkowe</t>
  </si>
  <si>
    <t xml:space="preserve">   1. Zobowiązania udzielone:</t>
  </si>
  <si>
    <t xml:space="preserve">      a) dotyczące finansowania</t>
  </si>
  <si>
    <t xml:space="preserve">      b) gwarancyjne</t>
  </si>
  <si>
    <t xml:space="preserve">   2. Zobowiązania otrzymane:</t>
  </si>
  <si>
    <t>II. Zobowiązania związane z realizacją operacji kupna/sprzedaży</t>
  </si>
  <si>
    <t>III. Pozostałe, w tym:</t>
  </si>
  <si>
    <t xml:space="preserve">   -</t>
  </si>
  <si>
    <t>POZYCJE POZABILANSOWE RAZEM</t>
  </si>
  <si>
    <t>RACHUNEK ZYSKÓW I STRAT</t>
  </si>
  <si>
    <t xml:space="preserve">za okres </t>
  </si>
  <si>
    <t>I. Przychody z tytułu odsetek</t>
  </si>
  <si>
    <t>II. Koszty odsetek</t>
  </si>
  <si>
    <t xml:space="preserve">III. Wynik z tytułu odsetek (I-II) </t>
  </si>
  <si>
    <t>IV. Przychody z tytułu prowizji</t>
  </si>
  <si>
    <t>V. Koszty z tytułu prowizji</t>
  </si>
  <si>
    <t xml:space="preserve">VI. Wynik z tytułu prowizji (IV-V) </t>
  </si>
  <si>
    <t xml:space="preserve">VII. Przychody  z  akcji i udziałów, pozostałych papierów wartościowych i innych praw majątkowych </t>
  </si>
  <si>
    <t>VIII. Wynik na operacjach finansowych</t>
  </si>
  <si>
    <t>IX. Wynik z pozycji wymiany</t>
  </si>
  <si>
    <t>X. Wynik na działalności bankowej</t>
  </si>
  <si>
    <t>XI. Pozostałe przychody operacyjne</t>
  </si>
  <si>
    <t>XII. Pozostałe koszty operacyjne</t>
  </si>
  <si>
    <t>XIII. Koszty działania banku</t>
  </si>
  <si>
    <t>XIV. Amortyzacja  środków  trwałych  oraz  wartości  niematerialnych  i  prawnych</t>
  </si>
  <si>
    <t>XV. Odpisy na rezerwy i aktualizacja wartości</t>
  </si>
  <si>
    <t>XVI. Rozwiązanie rezerw i zmniejszenia dotyczące aktualizacji wartości</t>
  </si>
  <si>
    <t>XVII. Różnica wartości rezerw i aktualizacji (XV- XVI)</t>
  </si>
  <si>
    <t xml:space="preserve">XVIII. Wynik na działalności operacyjnej </t>
  </si>
  <si>
    <t>XIX. Wynik na operacjach nadzwyczajnych</t>
  </si>
  <si>
    <t xml:space="preserve">   1. Zyski nadzwyczajne</t>
  </si>
  <si>
    <t xml:space="preserve">   2. Straty nadzwyczajne</t>
  </si>
  <si>
    <t>XX. Zysk (strata) brutto</t>
  </si>
  <si>
    <t>XXI. Podatek dochodowy</t>
  </si>
  <si>
    <t>XXII. Pozostałe obowiązkowe zmniejszenie zysku (zwiększenie straty)</t>
  </si>
  <si>
    <t>XXIII. Zysk (strata) netto</t>
  </si>
  <si>
    <t>Zysk (strata) netto</t>
  </si>
  <si>
    <t>Średnia ważona liczba akcji zwykłych</t>
  </si>
  <si>
    <t>Średnia ważona przewidywana liczba akcji zwykłych</t>
  </si>
  <si>
    <t>Rozwodniony zysk (strata) na jedną akcję zwykłą (w zł)</t>
  </si>
  <si>
    <t>ZESTAWIENIE ZMIAN W KAPITALE WŁASNYM</t>
  </si>
  <si>
    <t>I. Stan kapitału własnego na początek okresu (BO)</t>
  </si>
  <si>
    <t>a) zmiany przyjętych zasad (polityki) rachunkowości</t>
  </si>
  <si>
    <t>b) korekty błędów zasadniczych</t>
  </si>
  <si>
    <t>I.a. Stan kapitału  własnego na początek okresu  (BO), po uzgodnieniu do danych porównywalnych</t>
  </si>
  <si>
    <t>1. Stan kapitału akcyjnego na początek okresu</t>
  </si>
  <si>
    <t>b2. jednostka/waluta 0788 / CAD</t>
  </si>
  <si>
    <t>b3. jednostka/waluta 0789 / GBP</t>
  </si>
  <si>
    <t>b4. jednostka/waluta 0792/ DKK</t>
  </si>
  <si>
    <t>b5. jednostka/waluta 0796/ NOK</t>
  </si>
  <si>
    <t>b6. jednostka/waluta 0797/ CHF</t>
  </si>
  <si>
    <t>b7. jednostka/waluta 0798/ SEK</t>
  </si>
  <si>
    <t>b8. jednostka/waluta 0978/ EURO</t>
  </si>
  <si>
    <t>b9. pozostałe waluty (w  tys. zł)</t>
  </si>
  <si>
    <t>b3. jednostka/waluta 0781 / AUD</t>
  </si>
  <si>
    <t>b4. jednostka/waluta 0784/ JPY</t>
  </si>
  <si>
    <t>b5. jednostka/waluta 0787 / USD</t>
  </si>
  <si>
    <t>b6. jednostka/waluta 0788/ CAD</t>
  </si>
  <si>
    <t>b7. jednostka/waluta 0789 / GBD</t>
  </si>
  <si>
    <t>b8. jednostka/waluta 0792 / DKK</t>
  </si>
  <si>
    <t>b9. jednostka/waluta 0796 / NOK</t>
  </si>
  <si>
    <t>b11. jednostka/waluta 0798 / SEK</t>
  </si>
  <si>
    <t>b12. jednostka/waluta 0978 / EURO</t>
  </si>
  <si>
    <t>b13. pozostałe waluty (w  tys. zł)</t>
  </si>
  <si>
    <t>b2. jednostka/waluta 0978 / EURO</t>
  </si>
  <si>
    <t>b3. pozostałe waluty (w  tys. zł)</t>
  </si>
  <si>
    <t>b3. jednostka/waluta 0796 / NOK</t>
  </si>
  <si>
    <t>b4. jednostka/waluta 0797 / CHF</t>
  </si>
  <si>
    <t>b5. jednostka/waluta 0978 / EURO</t>
  </si>
  <si>
    <t>b6. pozostałe waluty (w  tys. zł)</t>
  </si>
  <si>
    <t>1.1. Zmiany stanu kapitału akcyjnego</t>
  </si>
  <si>
    <t>a) zwiększenia (z tytułu)</t>
  </si>
  <si>
    <t xml:space="preserve">   - emisji akcji</t>
  </si>
  <si>
    <t>b) zmniejszenia (z tytułu)</t>
  </si>
  <si>
    <t xml:space="preserve">   - umorzenia</t>
  </si>
  <si>
    <t>1.2. Stan kapitału akcyjnego na koniec okresu</t>
  </si>
  <si>
    <t>2. Stan należnych wpłat na poczet kapitału akcyjnego na początek okresu</t>
  </si>
  <si>
    <t>2.1. Zmiana stanu należnych wpłat na poczet kapitału akcyjnego</t>
  </si>
  <si>
    <t>a) zwiększenie</t>
  </si>
  <si>
    <t>b) zmniejszenie</t>
  </si>
  <si>
    <t>2.2. Stan należnych wpłat na poczet kapitału akcyjnego na koniec okresu</t>
  </si>
  <si>
    <t>3. Stan kapitału zapasowego na początek okresu</t>
  </si>
  <si>
    <t>3.1. Zmiany stanu kapitału zapasowego</t>
  </si>
  <si>
    <t xml:space="preserve">   - emisji akcji powyżej wartości nominalnej </t>
  </si>
  <si>
    <t xml:space="preserve">   - podziału zysku (ustawowo)</t>
  </si>
  <si>
    <t xml:space="preserve">   - podziału zysku (ponad wymaganą ustawowo minimalną wartość)</t>
  </si>
  <si>
    <t>3.2. Stan kapitału zapasowego na koniec okresu</t>
  </si>
  <si>
    <t>4. Stan kapitału (funduszu) rezerwowego z aktualizacji wyceny na początek okresu</t>
  </si>
  <si>
    <t>4.1. Zmiany stanu kapitału rezerwowego z aktualizacji wyceny</t>
  </si>
  <si>
    <t>a) zwiększenie (z tytułu)</t>
  </si>
  <si>
    <t>b) zmniejszenie (z tytułu)</t>
  </si>
  <si>
    <t xml:space="preserve">   - sprzedaży i likwidacji środków trwałych</t>
  </si>
  <si>
    <t>4.2. Stan kapitału rezerwowego z aktualizacji wyceny na koniec okresu</t>
  </si>
  <si>
    <t>5. Stan funduszu ogólnego ryzyka bankowego na początek okresu</t>
  </si>
  <si>
    <t>5.1. Zmiany stanu funduszu ogólnego ryzyka bankowego</t>
  </si>
  <si>
    <t>5.2.  Stan funduszu ogólnego ryzyka bankowego na koniec okresu</t>
  </si>
  <si>
    <t>6. Stan funduszu na działalność maklerską na początek okresu</t>
  </si>
  <si>
    <t xml:space="preserve">     - odsetki do zapłacenia z roku bież.  zaliczone do rachunku wyników</t>
  </si>
  <si>
    <t>Podział zysku netto za 1998 rok</t>
  </si>
  <si>
    <t>Podział zysku netto za 1998 rok w kwocie 101 573 tysiące złotych przedstawia się następująco :</t>
  </si>
  <si>
    <t>Propozycja podziału zysku netto za 1999 rok</t>
  </si>
  <si>
    <t>1. Struktura środków pieniężnych w rachunku przepływów środków pieniężnych</t>
  </si>
  <si>
    <t xml:space="preserve">Kasa, operacje z Bankiem Centralnym </t>
  </si>
  <si>
    <t>Należności od sektora finansowego w rachunku bieżącym</t>
  </si>
  <si>
    <t>Razem środki pieniężne na koniec okresu</t>
  </si>
  <si>
    <t>2. Podział działalności emitenta w rachunku przepływów środków pieniężnych</t>
  </si>
  <si>
    <t>6.1. Zmiany stanu funduszu na działalność maklerską</t>
  </si>
  <si>
    <t>6.2.  Stan funduszu na działalność maklerską na koniec okresu</t>
  </si>
  <si>
    <t xml:space="preserve">   - rozwiązanie rezerwy celowej w związku z korektą lat ubiegłych</t>
  </si>
  <si>
    <t xml:space="preserve">      c3) bony komercyjne (wartość bilansowa)</t>
  </si>
  <si>
    <t xml:space="preserve">      c2) bony pieniężne NBP (wartość bilansowa)</t>
  </si>
  <si>
    <t xml:space="preserve">      c1) bony skarbowe (wartość bilansowa)</t>
  </si>
  <si>
    <t>Dane liczbowe do obliczenia współczynnika wypłacalności</t>
  </si>
  <si>
    <t>31-12-1999</t>
  </si>
  <si>
    <t xml:space="preserve">31-12-1998 </t>
  </si>
  <si>
    <t>Ważona wartość aktywów i zobowiązań pozabilansowych</t>
  </si>
  <si>
    <t>Kapitał akcyjny</t>
  </si>
  <si>
    <t>Kapitał zapasowy</t>
  </si>
  <si>
    <t>Kapitał rezerwowy</t>
  </si>
  <si>
    <t>Fundusze własne brutto</t>
  </si>
  <si>
    <t>Zmniejszenie funduszy własnych dla potrzeb wyliczenia</t>
  </si>
  <si>
    <t>współczynnika wypłacalności</t>
  </si>
  <si>
    <t>Fundusze własne netto przyjęte do wyliczenia</t>
  </si>
  <si>
    <t xml:space="preserve">Współczynnik wypłacalności  ( fundusze własne netto / </t>
  </si>
  <si>
    <t>ważona wartość aktywów i zobowiązań pozabilansowych )</t>
  </si>
  <si>
    <t>Dane objaśniające sposób obliczenia wartości księgowej na jedną akcję</t>
  </si>
  <si>
    <t xml:space="preserve">Wartość księgowa netto na jedną akcję została obliczona jako stosunek funduszy własnych Banku do liczby akcji na dzień </t>
  </si>
  <si>
    <t>sporządzenia bilansu.</t>
  </si>
  <si>
    <t>Zysk netto</t>
  </si>
  <si>
    <t>Fundusze własne razem</t>
  </si>
  <si>
    <t>Wartość księgowa netto na jedną akcję w złotych</t>
  </si>
  <si>
    <t>Dane objaśniające sposób obliczenia rozwodnionej  wartości księgowej na jedną akcję</t>
  </si>
  <si>
    <t>1/ Wartość księgową za poszczególne okresy w wysokości :</t>
  </si>
  <si>
    <t xml:space="preserve">     </t>
  </si>
  <si>
    <t>2/  Przewidywana liczbę akcji</t>
  </si>
  <si>
    <t xml:space="preserve">Rozwodniona wartość księgowa netto na jedną akcję w złotych </t>
  </si>
  <si>
    <t>31-12-1998</t>
  </si>
  <si>
    <t>22,6%</t>
  </si>
  <si>
    <t>24,5%</t>
  </si>
  <si>
    <t xml:space="preserve">roku fundusz ochrony środków gwarantowanych na zabezpieczenie ewentualnych wpłat na rzecz BFG w ramach obowiązkowego </t>
  </si>
  <si>
    <t>systemu gwarantowania środków pieniężnych. Ustawa o BFG zobowiązuje również banki do lokowania aktywów stanowiących</t>
  </si>
  <si>
    <t xml:space="preserve">pokrycie funduszu środków gwarantowanych w skarbowych papierach wartościowych i bonach pieniężnych NBP, które powinny  </t>
  </si>
  <si>
    <t>być zablokowane na wyodrębnionym rachunku depozytowym w NBP lub Krajowym Depozycie Papierów Wartościowych.</t>
  </si>
  <si>
    <t>w Krajowym Depozycie Papierów Wartościowych.</t>
  </si>
  <si>
    <t>Zgodnie z ustawą z dnia 14 grudnia 1994 r. o Bankowym Funduszu Gwarancyjnym (BFG), Bank utworzył na 31 grudnia 1999</t>
  </si>
  <si>
    <t xml:space="preserve">Na dzień 31 grudnia 1999 roku bony skarbowe ujęte w bilansie w wartości 9 139 tysięcy złotych i wartości nominalnej </t>
  </si>
  <si>
    <t>9 390 tysięcy złotych stanowiły zabezpieczenie funduszu ochrony środków gwarantowanych w ramach BFG i były zdeponowane</t>
  </si>
  <si>
    <t xml:space="preserve">Zgodnie z uchwałą NR 36/28/PPK/1999 z dnia 25 czerwca 1999 roku w sprawie emisji przez Narodowy Bank Polski obligacji </t>
  </si>
  <si>
    <t>łącznej wartości bilansowej 155 280 tysięcy złotych.</t>
  </si>
  <si>
    <t xml:space="preserve">  Informacja o różnicach pomiędzy zyskiem brutto, a podstawą opodatkowania </t>
  </si>
  <si>
    <t>podatkiem dochodowym</t>
  </si>
  <si>
    <t xml:space="preserve">                                                                                                                                  </t>
  </si>
  <si>
    <t>1. Trwałe  różnice pomiędzy zyskiem brutto a dochodem
    do opodatkowania podatkiem dochodowym</t>
  </si>
  <si>
    <t xml:space="preserve">     z tego: </t>
  </si>
  <si>
    <t xml:space="preserve">a)  Koszty i straty nie uznawane przez przepisy podatkowe </t>
  </si>
  <si>
    <t xml:space="preserve">     za koszty uzyskania przychodu - ogółem                                                                      </t>
  </si>
  <si>
    <t xml:space="preserve">     w tym:</t>
  </si>
  <si>
    <t xml:space="preserve">     - opłaty członkowskie</t>
  </si>
  <si>
    <t xml:space="preserve">     - amortyzacja  i ubezp. od sam. powyżej 10 000 tys. ECU</t>
  </si>
  <si>
    <t xml:space="preserve">     - darowizny nie stanowiące kup.</t>
  </si>
  <si>
    <t xml:space="preserve">     - odszkodowania, kary , grzywny</t>
  </si>
  <si>
    <t xml:space="preserve">     - wpłaty na PFRON</t>
  </si>
  <si>
    <t xml:space="preserve">     -  pozostałe</t>
  </si>
  <si>
    <t>b)  Przychody nieopodatkowane</t>
  </si>
  <si>
    <t xml:space="preserve">     -  otrzymane dywidendy</t>
  </si>
  <si>
    <t xml:space="preserve">2.  Przejściowe różnice pomiędzy zyskiem brutto a dochodem </t>
  </si>
  <si>
    <t xml:space="preserve">    do opodatkowania podatkiem dochodowym</t>
  </si>
  <si>
    <t xml:space="preserve">  a)    zwiększające podstawę opodatkowania</t>
  </si>
  <si>
    <t xml:space="preserve">     - utworzone w roku bieżącym rezerwy na należności zagrożone</t>
  </si>
  <si>
    <t xml:space="preserve">     - amortyzacja od środków trwałych objętych ulgą inwestycyjną</t>
  </si>
  <si>
    <t xml:space="preserve">     - odsetki z lat ubiegłych otrzymane  w roku bieżącym</t>
  </si>
  <si>
    <t xml:space="preserve">     - pozostałe zwiększenia podstawy opodatkowania</t>
  </si>
  <si>
    <t xml:space="preserve">  b)    zmniejszające podstawę  opodatkowania</t>
  </si>
  <si>
    <t xml:space="preserve">   - odsetki do otrzymania z roku bież. zaliczone do rachunku wyników</t>
  </si>
  <si>
    <t xml:space="preserve">   - rozwiązane w roku bieżącym rezerwy celowe </t>
  </si>
  <si>
    <t xml:space="preserve">   - odsetki z lat ubiegłych zapłacone w roku bieżącym</t>
  </si>
  <si>
    <t xml:space="preserve">3.  Inne różnice pomiędzy zyskiem brutto, a podstawą </t>
  </si>
  <si>
    <t xml:space="preserve">      opodatkowania - odliczenia </t>
  </si>
  <si>
    <t xml:space="preserve">    - wydatki objęte ulgą inwestycyjną</t>
  </si>
  <si>
    <t xml:space="preserve">    - premia inwestycyjna</t>
  </si>
  <si>
    <t xml:space="preserve">    - darowizny</t>
  </si>
  <si>
    <t xml:space="preserve">4.  Odliczenia od podatku dochodowego                                                                                     </t>
  </si>
  <si>
    <t xml:space="preserve">     (podatek od otrzymanych dywidend)</t>
  </si>
  <si>
    <t>5.  Przyszłe zobowiązanie z tytułu podatku dochodowego</t>
  </si>
  <si>
    <t xml:space="preserve">     wg. stanu na koniec okresu</t>
  </si>
  <si>
    <t xml:space="preserve">     - stawka opodatkowania</t>
  </si>
  <si>
    <t>Podstawa naliczenia odroczonego podatku dochodowego</t>
  </si>
  <si>
    <t xml:space="preserve">    - różnice  dodatnie</t>
  </si>
  <si>
    <t xml:space="preserve">   - odsetki do otrzymania zaliczone do rachunku wyników w roku </t>
  </si>
  <si>
    <t xml:space="preserve">     bieżącym i latach ubiegłych</t>
  </si>
  <si>
    <t xml:space="preserve">  - niezamortyzowane środki trwałe objęte ulgą inwest.</t>
  </si>
  <si>
    <t xml:space="preserve">  - niezrealizowane różnice kursowe z roku bieżącego i lat ubiegłych</t>
  </si>
  <si>
    <t xml:space="preserve">  - różnice ujemne</t>
  </si>
  <si>
    <t xml:space="preserve">  - odsetki do zapłacenia zaliczone do rachunku wyników w roku </t>
  </si>
  <si>
    <t xml:space="preserve">    bieżącym i latach ubiegłych</t>
  </si>
  <si>
    <t xml:space="preserve">  - niezrealizowane różnice kursowe z roku bież. i lat poprzednich</t>
  </si>
  <si>
    <t xml:space="preserve">  - amortyzacja przekraczająca limit za lata 1995-1997</t>
  </si>
  <si>
    <t xml:space="preserve">  - rezerwa na należności zagrożone</t>
  </si>
  <si>
    <t xml:space="preserve">  - rezerwa na koszty rzeczowe i osobowe</t>
  </si>
  <si>
    <t xml:space="preserve">  - premia inwestycyjna</t>
  </si>
  <si>
    <t>7. Stan innych składników pozostałych kapitałów (funduszy) rezerwowych na początek okresu</t>
  </si>
  <si>
    <t>7.1. Zmiany stanu innych składników pozostałych kapitałów rezerwowych</t>
  </si>
  <si>
    <t>7.2. Stan innych składników pozostałych kapitałów rezerwowych na koniec okresu</t>
  </si>
  <si>
    <t>8. Różnice kursowe z przeliczenia oddziałów zagranicznych</t>
  </si>
  <si>
    <t>9. Stan niepodzielonego zysku lub niepokrytej straty z lat ubiegłych na początek okresu</t>
  </si>
  <si>
    <t>9.1. Stan niepodzielonego zysku z lat ubiegłych na początek okresu</t>
  </si>
  <si>
    <t>9.2. Stan niepodzielonego zysku z lat ubiegłych na początek okresu, po uzgodnieniu do danych porównywalnych</t>
  </si>
  <si>
    <t xml:space="preserve">   - podziału zysku</t>
  </si>
  <si>
    <t>9.3. Stan niepodzielonego zysku z lat ubiegłych na koniec okresu</t>
  </si>
  <si>
    <t>9.4. Stan niepokrytej straty z lat ubiegłych na początek okresu</t>
  </si>
  <si>
    <t>b) korekty błędów  zasadniczych</t>
  </si>
  <si>
    <t>9.5. Stan niepokrytej straty z lat ubiegłych na początek okresu, po uzgodnieniu do danych porównywalnych</t>
  </si>
  <si>
    <t xml:space="preserve">   - przeniesienia straty do pokrycia</t>
  </si>
  <si>
    <t>9.6. Stan niepokrytej straty z lat ubiegłych na koniec okresu</t>
  </si>
  <si>
    <t>9.7. Stan niepodzielonego zysku lub niepokrytej straty z lat ubiegłych na koniec okresu</t>
  </si>
  <si>
    <t>10. Wynik netto</t>
  </si>
  <si>
    <t>a) zysk netto</t>
  </si>
  <si>
    <t>b) strata netto</t>
  </si>
  <si>
    <t>II. Stan kapitału własnego na koniec okresu (BZ )</t>
  </si>
  <si>
    <r>
      <t>RACHUNEK PRZEPŁYWU ŚRODKÓW PIENIĘŻNYCH</t>
    </r>
    <r>
      <rPr>
        <b/>
        <sz val="14"/>
        <color indexed="8"/>
        <rFont val="Times New Roman CE"/>
        <family val="1"/>
      </rPr>
      <t xml:space="preserve"> </t>
    </r>
  </si>
  <si>
    <t>za okres</t>
  </si>
  <si>
    <t xml:space="preserve">A. PRZEPŁYWY PIENIĘŻNE NETTO Z DZIAŁALNOŚCI OPERACYJNEJ (I +/- II) - metoda pośrednia* </t>
  </si>
  <si>
    <t xml:space="preserve">   I. Zysk (strata) netto</t>
  </si>
  <si>
    <t xml:space="preserve">   II. Korekty razem:</t>
  </si>
  <si>
    <t xml:space="preserve">      1. Amortyzacja </t>
  </si>
  <si>
    <t xml:space="preserve">      2. Zyski/straty z tytułu różnic kursowych</t>
  </si>
  <si>
    <t xml:space="preserve">      3. Odsetki i dywidendy</t>
  </si>
  <si>
    <t xml:space="preserve">      4. (Zysk) strata z tytułu działalności inwestycyjnej</t>
  </si>
  <si>
    <t xml:space="preserve">      5. Zmiany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</si>
  <si>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</si>
  <si>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</si>
  <si>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dłużnych papierów wartościowych</t>
  </si>
  <si>
    <t xml:space="preserve">      9. Zmiana stanu należności od sektora finansowego</t>
  </si>
  <si>
    <t xml:space="preserve">      10. Zmiana stanu należności od sektora niefinansowego i sektora budżetowego</t>
  </si>
  <si>
    <t xml:space="preserve">      11 . Zmiana stanu należności z tytułu zakupionych papierów wartościowych z otrzymanym przyrzeczeniem odkupu</t>
  </si>
  <si>
    <t>B. PRZEPŁYWY PIENIĘŻNE NETTO Z DZIAŁALNOŚCI INWESTYCYJNEJ (I-II)</t>
  </si>
  <si>
    <t xml:space="preserve">   I. Wpływy z działalności inwestycyjnej</t>
  </si>
  <si>
    <t xml:space="preserve">      1. Sprzedaż wartości niematerialnych i prawnych</t>
  </si>
  <si>
    <t xml:space="preserve">      2. Sprzedaż składników rzeczowego majątku trwałego</t>
  </si>
  <si>
    <t xml:space="preserve">      3. Sprzedaż akcji i udziałów w jednostkach zależnych</t>
  </si>
  <si>
    <t xml:space="preserve">      4. Sprzedaż akcji i udziałów w jednostkach stowarzyszonych </t>
  </si>
  <si>
    <t xml:space="preserve">      5. Sprzedaż akcji i udziałów  w jednostce dominującej</t>
  </si>
  <si>
    <t xml:space="preserve">      6. Sprzedaż akcji i udziałów w innych jednostkach, pozostałych papierów wartościowych (w tym również przeznaczonych do obrotu) i innych praw majątkowych</t>
  </si>
  <si>
    <t xml:space="preserve">      7. Pozostałe wpływy</t>
  </si>
  <si>
    <t xml:space="preserve">   II. Wydatki z tytułu działalności inwestycyjnej </t>
  </si>
  <si>
    <t xml:space="preserve">      1. Nabycie wartości niematerialnych i prawnych</t>
  </si>
  <si>
    <t xml:space="preserve">      2. Nabycie składników rzeczowego majątku trwałego</t>
  </si>
  <si>
    <t xml:space="preserve">      3. Nabycie akcji i udziałów w jednostkach zależnych</t>
  </si>
  <si>
    <t xml:space="preserve">      4. Nabycie akcji i udziałów w jednostkach stowarzyszonych </t>
  </si>
  <si>
    <t xml:space="preserve">      5. Nabycie akcji i udziałów  w jednostce dominującej</t>
  </si>
  <si>
    <t xml:space="preserve">      6. Nabycie akcji i udziałów w innych jednostkach, pozostałych papierów wartościowych (w tym również przeznaczonych do obrotu) i innych praw majątkowych</t>
  </si>
  <si>
    <t xml:space="preserve">      7. Nabycie akcji własnych do zbycia</t>
  </si>
  <si>
    <t xml:space="preserve">      8. Pozostałe wydatki</t>
  </si>
  <si>
    <t>C. PRZEPŁYWY PIENIĘŻNE NETTO Z DZIAŁALNOŚCI FINANSOWEJ (I-II)</t>
  </si>
  <si>
    <t xml:space="preserve">   I. Wpływy z działalności finansowej</t>
  </si>
  <si>
    <t xml:space="preserve">      1. Zaciągnięcie długoterminowych kredytów od banków</t>
  </si>
  <si>
    <t xml:space="preserve">      2. Zaciągnięcie długoterminowych pożyczek od innych niż banki instytucji finansowych</t>
  </si>
  <si>
    <t xml:space="preserve">      3. Emisja obligacji lub innych dłużnych papierów wartościowych dla innych instytucji finansowych</t>
  </si>
  <si>
    <t>b10. jednostka/waluta 0797/ CHF</t>
  </si>
  <si>
    <t xml:space="preserve">   - dopłaty do oprocentowanych kredytów preferencyjnych</t>
  </si>
  <si>
    <t>b1. jednostka/waluta 0213 / CZK</t>
  </si>
  <si>
    <t>b2. jednostka/waluta 0724 / GRD</t>
  </si>
  <si>
    <t xml:space="preserve">      4. Zwiększenie stanu zobowiązań podporządkowanych</t>
  </si>
  <si>
    <t xml:space="preserve">      5. Wpływy z emisji akcji własnych</t>
  </si>
  <si>
    <t xml:space="preserve">      6. Dopłaty do kapitału</t>
  </si>
  <si>
    <t xml:space="preserve">   II. Wydatki z tytułu działalności finansowej</t>
  </si>
  <si>
    <t xml:space="preserve">      1. Spłata długoterminowych kredytów na rzecz banków</t>
  </si>
  <si>
    <t xml:space="preserve">      2. Spłata długoterminowych pożyczek na rzecz innych niż banki instytucji finansowych</t>
  </si>
  <si>
    <t xml:space="preserve">      3. Wykup obligacji lub innych papierów wartościowych od innych instytucji finansowych</t>
  </si>
  <si>
    <t xml:space="preserve">      4. Zmniejszenie stanu zobowiązań podporządkowanych</t>
  </si>
  <si>
    <t xml:space="preserve">      5. Koszty emisji akcji własnych</t>
  </si>
  <si>
    <t xml:space="preserve">      6. Umorzenie akcji własnych</t>
  </si>
  <si>
    <t xml:space="preserve">      7. Płatności dywidend i innych wypłat na rzecz właścicieli</t>
  </si>
  <si>
    <t xml:space="preserve">      8. Wypłaty z zysku dla osób zarządzajcych i nadzorujących</t>
  </si>
  <si>
    <t xml:space="preserve">      9. Wydatki na cele społecznie użyteczne</t>
  </si>
  <si>
    <t xml:space="preserve">      10. Płatności zobowiązań z tytułu umów leasingu finansowego</t>
  </si>
  <si>
    <t xml:space="preserve">      11. Pozostałe wydatki</t>
  </si>
  <si>
    <t>D. PRZEPŁYWY PIENIĘŻNE NETTO, RAZEM (A+/-B+/-C)</t>
  </si>
  <si>
    <t>E. BILANSOWA ZMIANA STANU ŚRODKÓW PIENIĘŻNYCH</t>
  </si>
  <si>
    <t xml:space="preserve">   - w  tym zmiana stanu środków pieniężnych z tytułu różnic kursowych od walut obcych</t>
  </si>
  <si>
    <t>F. ŚRODKI PIENIĘŻNE NA POCZĄTEK OKRESU</t>
  </si>
  <si>
    <t>G. ŚRODKI PIENIĘŻNE NA KONIEC OKRESU (F+/- D)</t>
  </si>
  <si>
    <t>Nota 1</t>
  </si>
  <si>
    <t>KASA, ŚRODKI W BANKU CENTRALNYM</t>
  </si>
  <si>
    <t xml:space="preserve">   - przyjętych środków trwałych za wierzytelności</t>
  </si>
  <si>
    <t>1. Lokaty a'vista</t>
  </si>
  <si>
    <t>2. Rezerwa obowiązkowa</t>
  </si>
  <si>
    <t>3. Środki Bankowego Funduszu Gwarancyjnego</t>
  </si>
  <si>
    <t>4. Inne środki</t>
  </si>
  <si>
    <t>Kasa, środki w banku centralnym razem</t>
  </si>
  <si>
    <t>ŚRODKI PIENIĘŻNE (STRUKTURA WALUTOWA)</t>
  </si>
  <si>
    <t>a. w walucie polskiej</t>
  </si>
  <si>
    <t>b. w walutach obcych (wg walut i po przeliczeniu na zł)</t>
  </si>
  <si>
    <t xml:space="preserve">      tys. zł </t>
  </si>
  <si>
    <t>Środki pieniężne razem</t>
  </si>
  <si>
    <t>Nota 2</t>
  </si>
  <si>
    <t>NALEŻNOŚCI OD SEKTORA FINANSOWEGO (WEDŁUG STRUKTURY RODZAJOWEJ)</t>
  </si>
  <si>
    <t>1. Rachunki bieżące</t>
  </si>
  <si>
    <t>2. Kredyty, lokaty i pożyczki</t>
  </si>
  <si>
    <t>3. Skupione wierzytelności</t>
  </si>
  <si>
    <t>4. Zrealizowane gwarancje i poręczenia</t>
  </si>
  <si>
    <t>5. Inne należności (z tytułu)</t>
  </si>
  <si>
    <t>6. Odsetki:</t>
  </si>
  <si>
    <t>a) niezapadłe</t>
  </si>
  <si>
    <t>b) zapadłe</t>
  </si>
  <si>
    <t xml:space="preserve">Należności (brutto) od sektora finansowego razem </t>
  </si>
  <si>
    <t>Należności (netto) od sektora finansowego razem</t>
  </si>
  <si>
    <t>1. W rachunku bieżącym</t>
  </si>
  <si>
    <t>2. Należności terminowe, o pozostałym od dnia bilansowego okresie  spłaty:</t>
  </si>
  <si>
    <t xml:space="preserve">   a) do 1 miesiąca</t>
  </si>
  <si>
    <t xml:space="preserve">   b) powyżej 1 miesiąca do 3 miesięcy</t>
  </si>
  <si>
    <t xml:space="preserve">   c) powyżej 3 miesięcy do 1 roku</t>
  </si>
  <si>
    <t xml:space="preserve">   d) powyżej 1 roku do 5 lat</t>
  </si>
  <si>
    <t xml:space="preserve">   e) powyżej 5 lat</t>
  </si>
  <si>
    <t xml:space="preserve">   f) dla których termin zapadalności upłynął</t>
  </si>
  <si>
    <t>3. Odsetki</t>
  </si>
  <si>
    <t xml:space="preserve">   - niezapadłe</t>
  </si>
  <si>
    <t xml:space="preserve">   - zapadłe</t>
  </si>
  <si>
    <t>2. Należności terminowe, o okresie spłaty:</t>
  </si>
  <si>
    <t>NALEŻNOŚCI OD SEKTORA FINANSOWEGO (WEDŁUG STRUKTURY WALUTOWEJ)</t>
  </si>
  <si>
    <t xml:space="preserve">Należności od sektora finansowego razem </t>
  </si>
  <si>
    <t xml:space="preserve">   - deprecjacje papierów wartościowych</t>
  </si>
  <si>
    <t xml:space="preserve">   - rozwiązanie rezerwy celowej w związku ze spłatą nalezności</t>
  </si>
  <si>
    <t xml:space="preserve">   - poniżej standardu</t>
  </si>
  <si>
    <t xml:space="preserve">   - wątpliwe</t>
  </si>
  <si>
    <t xml:space="preserve">   - stracone</t>
  </si>
  <si>
    <t>3. Należności zagrożone, w tym:</t>
  </si>
  <si>
    <t>WARTOŚĆ ZABEZPIECZEŃ PRAWNYCH POMNIEJSZAJĄCYCH PODSTAWĘ NALICZANIA REZERW CELOWYCH NA NALEŻNOŚCI OD SEKTORA FINANSOWEGO DOTYCZĄCE NALEŻNOŚCI</t>
  </si>
  <si>
    <t>a) pod obserwacją</t>
  </si>
  <si>
    <t>b) zagrożonych</t>
  </si>
  <si>
    <t xml:space="preserve">  - poniżej standardu</t>
  </si>
  <si>
    <t xml:space="preserve">  - wątpliwych</t>
  </si>
  <si>
    <t xml:space="preserve">  - straconych</t>
  </si>
  <si>
    <t>Wartość zabezpieczeń prawnych pomniejszających podstawę naliczania rezerw na należności od sektora finansowego razem</t>
  </si>
  <si>
    <t xml:space="preserve">STAN REZERW NA NALEŻNOŚCI OD SEKTORA FINANSOWEGO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</si>
</sst>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0,000"/>
    <numFmt numFmtId="172" formatCode="#,##0.0"/>
    <numFmt numFmtId="173" formatCode="0,000.0"/>
    <numFmt numFmtId="174" formatCode="#,##0;\ \(#,##0\)"/>
    <numFmt numFmtId="175" formatCode="#,##0.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name val="Times New Roman CE"/>
      <family val="0"/>
    </font>
    <font>
      <b/>
      <sz val="8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24"/>
      <color indexed="8"/>
      <name val="Times New Roman CE"/>
      <family val="0"/>
    </font>
    <font>
      <b/>
      <sz val="10"/>
      <name val="Times New Roman CE"/>
      <family val="0"/>
    </font>
    <font>
      <b/>
      <sz val="9"/>
      <color indexed="8"/>
      <name val="Times New Roman CE"/>
      <family val="0"/>
    </font>
    <font>
      <b/>
      <sz val="13"/>
      <color indexed="8"/>
      <name val="Times New Roman CE"/>
      <family val="0"/>
    </font>
    <font>
      <sz val="8"/>
      <name val="Times New Roman CE"/>
      <family val="0"/>
    </font>
    <font>
      <b/>
      <sz val="14"/>
      <color indexed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u val="single"/>
      <sz val="14"/>
      <color indexed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1"/>
    </font>
    <font>
      <sz val="9"/>
      <name val="Arial CE"/>
      <family val="2"/>
    </font>
    <font>
      <sz val="8"/>
      <name val="Arial CE"/>
      <family val="0"/>
    </font>
    <font>
      <sz val="7"/>
      <name val="Times New Roman CE"/>
      <family val="1"/>
    </font>
    <font>
      <sz val="7"/>
      <name val="Arial CE"/>
      <family val="0"/>
    </font>
    <font>
      <b/>
      <sz val="8"/>
      <name val="Times New Roman CE"/>
      <family val="1"/>
    </font>
    <font>
      <u val="single"/>
      <sz val="9"/>
      <color indexed="8"/>
      <name val="Times New Roman CE"/>
      <family val="1"/>
    </font>
    <font>
      <u val="single"/>
      <sz val="9"/>
      <name val="Times New Roman CE"/>
      <family val="1"/>
    </font>
    <font>
      <b/>
      <u val="single"/>
      <sz val="8"/>
      <name val="Times New Roman CE"/>
      <family val="1"/>
    </font>
    <font>
      <u val="single"/>
      <sz val="8"/>
      <color indexed="8"/>
      <name val="Times New Roman CE"/>
      <family val="1"/>
    </font>
    <font>
      <u val="single"/>
      <sz val="8"/>
      <name val="Times New Roman CE"/>
      <family val="1"/>
    </font>
    <font>
      <sz val="8.5"/>
      <name val="Times New Roman CE"/>
      <family val="1"/>
    </font>
    <font>
      <b/>
      <u val="single"/>
      <sz val="9"/>
      <name val="Times New Roman CE"/>
      <family val="1"/>
    </font>
    <font>
      <b/>
      <i/>
      <sz val="9"/>
      <name val="Times New Roman CE"/>
      <family val="1"/>
    </font>
    <font>
      <b/>
      <u val="single"/>
      <sz val="9"/>
      <color indexed="8"/>
      <name val="Times New Roman CE"/>
      <family val="1"/>
    </font>
    <font>
      <sz val="6"/>
      <color indexed="8"/>
      <name val="Times New Roman CE"/>
      <family val="1"/>
    </font>
    <font>
      <b/>
      <u val="single"/>
      <sz val="8"/>
      <color indexed="8"/>
      <name val="Times New Roman CE"/>
      <family val="1"/>
    </font>
  </fonts>
  <fills count="1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22"/>
      </patternFill>
    </fill>
    <fill>
      <patternFill patternType="gray0625">
        <fgColor indexed="22"/>
        <bgColor indexed="9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3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9" fillId="5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wrapText="1"/>
    </xf>
    <xf numFmtId="0" fontId="14" fillId="4" borderId="10" xfId="0" applyFont="1" applyFill="1" applyBorder="1" applyAlignment="1">
      <alignment vertical="top" wrapText="1"/>
    </xf>
    <xf numFmtId="0" fontId="11" fillId="4" borderId="8" xfId="0" applyFont="1" applyFill="1" applyBorder="1" applyAlignment="1">
      <alignment wrapText="1"/>
    </xf>
    <xf numFmtId="0" fontId="14" fillId="4" borderId="7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1" fillId="3" borderId="9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9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2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 vertical="top" wrapText="1"/>
    </xf>
    <xf numFmtId="0" fontId="11" fillId="3" borderId="8" xfId="0" applyFont="1" applyFill="1" applyBorder="1" applyAlignment="1">
      <alignment/>
    </xf>
    <xf numFmtId="0" fontId="11" fillId="3" borderId="8" xfId="0" applyFont="1" applyFill="1" applyBorder="1" applyAlignment="1">
      <alignment vertical="top" wrapText="1"/>
    </xf>
    <xf numFmtId="0" fontId="9" fillId="7" borderId="7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wrapText="1"/>
    </xf>
    <xf numFmtId="0" fontId="9" fillId="7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1" fillId="7" borderId="10" xfId="0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7" borderId="0" xfId="0" applyFont="1" applyFill="1" applyBorder="1" applyAlignment="1">
      <alignment horizontal="centerContinuous" vertical="top" wrapText="1"/>
    </xf>
    <xf numFmtId="0" fontId="19" fillId="0" borderId="0" xfId="0" applyFont="1" applyAlignment="1">
      <alignment wrapText="1"/>
    </xf>
    <xf numFmtId="0" fontId="19" fillId="7" borderId="0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5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5" borderId="15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9" fillId="8" borderId="0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center" vertical="top" wrapText="1"/>
    </xf>
    <xf numFmtId="0" fontId="7" fillId="8" borderId="0" xfId="0" applyFont="1" applyFill="1" applyAlignment="1">
      <alignment wrapText="1"/>
    </xf>
    <xf numFmtId="0" fontId="11" fillId="3" borderId="16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8" fillId="2" borderId="14" xfId="0" applyNumberFormat="1" applyFont="1" applyFill="1" applyBorder="1" applyAlignment="1">
      <alignment horizontal="center" wrapText="1"/>
    </xf>
    <xf numFmtId="0" fontId="8" fillId="2" borderId="17" xfId="0" applyNumberFormat="1" applyFont="1" applyFill="1" applyBorder="1" applyAlignment="1">
      <alignment horizontal="center" wrapText="1"/>
    </xf>
    <xf numFmtId="0" fontId="17" fillId="3" borderId="5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top" wrapText="1"/>
    </xf>
    <xf numFmtId="0" fontId="9" fillId="8" borderId="0" xfId="0" applyFont="1" applyFill="1" applyAlignment="1">
      <alignment horizontal="center" vertical="top" wrapText="1"/>
    </xf>
    <xf numFmtId="0" fontId="4" fillId="8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top" wrapText="1"/>
    </xf>
    <xf numFmtId="0" fontId="9" fillId="8" borderId="7" xfId="0" applyFont="1" applyFill="1" applyBorder="1" applyAlignment="1">
      <alignment horizontal="center" vertical="top" wrapText="1"/>
    </xf>
    <xf numFmtId="0" fontId="11" fillId="8" borderId="9" xfId="0" applyFont="1" applyFill="1" applyBorder="1" applyAlignment="1">
      <alignment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wrapText="1"/>
    </xf>
    <xf numFmtId="0" fontId="11" fillId="8" borderId="0" xfId="0" applyFont="1" applyFill="1" applyBorder="1" applyAlignment="1">
      <alignment vertical="top" wrapText="1"/>
    </xf>
    <xf numFmtId="0" fontId="11" fillId="8" borderId="12" xfId="0" applyFont="1" applyFill="1" applyBorder="1" applyAlignment="1">
      <alignment vertical="top" wrapText="1"/>
    </xf>
    <xf numFmtId="0" fontId="9" fillId="8" borderId="12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11" fillId="8" borderId="9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8" borderId="0" xfId="0" applyFont="1" applyFill="1" applyBorder="1" applyAlignment="1">
      <alignment wrapText="1"/>
    </xf>
    <xf numFmtId="0" fontId="11" fillId="8" borderId="9" xfId="0" applyFont="1" applyFill="1" applyBorder="1" applyAlignment="1">
      <alignment wrapText="1"/>
    </xf>
    <xf numFmtId="0" fontId="13" fillId="8" borderId="0" xfId="0" applyFont="1" applyFill="1" applyAlignment="1">
      <alignment wrapText="1"/>
    </xf>
    <xf numFmtId="0" fontId="11" fillId="8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vertical="top" wrapText="1"/>
    </xf>
    <xf numFmtId="0" fontId="9" fillId="9" borderId="0" xfId="0" applyFont="1" applyFill="1" applyBorder="1" applyAlignment="1">
      <alignment horizontal="center" vertical="top" wrapText="1"/>
    </xf>
    <xf numFmtId="0" fontId="0" fillId="8" borderId="0" xfId="0" applyFill="1" applyAlignment="1">
      <alignment/>
    </xf>
    <xf numFmtId="0" fontId="19" fillId="7" borderId="0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wrapText="1"/>
    </xf>
    <xf numFmtId="0" fontId="17" fillId="8" borderId="5" xfId="0" applyFont="1" applyFill="1" applyBorder="1" applyAlignment="1">
      <alignment horizontal="centerContinuous" wrapText="1"/>
    </xf>
    <xf numFmtId="0" fontId="7" fillId="8" borderId="0" xfId="0" applyFont="1" applyFill="1" applyAlignment="1">
      <alignment horizontal="centerContinuous" vertical="center" wrapText="1"/>
    </xf>
    <xf numFmtId="0" fontId="15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centerContinuous" vertical="center"/>
    </xf>
    <xf numFmtId="0" fontId="9" fillId="8" borderId="0" xfId="0" applyFont="1" applyFill="1" applyAlignment="1">
      <alignment horizontal="centerContinuous" vertical="top" wrapText="1"/>
    </xf>
    <xf numFmtId="0" fontId="11" fillId="8" borderId="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0" fontId="10" fillId="10" borderId="7" xfId="0" applyFont="1" applyFill="1" applyBorder="1" applyAlignment="1">
      <alignment horizontal="center" vertical="top" wrapText="1"/>
    </xf>
    <xf numFmtId="0" fontId="14" fillId="10" borderId="13" xfId="0" applyFont="1" applyFill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171" fontId="13" fillId="4" borderId="7" xfId="0" applyNumberFormat="1" applyFont="1" applyFill="1" applyBorder="1" applyAlignment="1">
      <alignment horizontal="center" vertical="top" wrapText="1"/>
    </xf>
    <xf numFmtId="171" fontId="7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top" wrapText="1"/>
    </xf>
    <xf numFmtId="0" fontId="11" fillId="8" borderId="8" xfId="0" applyFont="1" applyFill="1" applyBorder="1" applyAlignment="1">
      <alignment vertical="top" wrapText="1"/>
    </xf>
    <xf numFmtId="0" fontId="11" fillId="8" borderId="7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vertical="top" wrapText="1"/>
    </xf>
    <xf numFmtId="0" fontId="11" fillId="11" borderId="20" xfId="0" applyFont="1" applyFill="1" applyBorder="1" applyAlignment="1">
      <alignment vertical="top" wrapText="1"/>
    </xf>
    <xf numFmtId="0" fontId="13" fillId="3" borderId="7" xfId="0" applyFont="1" applyFill="1" applyBorder="1" applyAlignment="1">
      <alignment/>
    </xf>
    <xf numFmtId="0" fontId="9" fillId="4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wrapText="1"/>
    </xf>
    <xf numFmtId="0" fontId="14" fillId="12" borderId="0" xfId="0" applyFont="1" applyFill="1" applyBorder="1" applyAlignment="1">
      <alignment vertical="top" wrapText="1"/>
    </xf>
    <xf numFmtId="0" fontId="11" fillId="4" borderId="2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vertical="top" wrapText="1"/>
    </xf>
    <xf numFmtId="0" fontId="11" fillId="4" borderId="27" xfId="0" applyFont="1" applyFill="1" applyBorder="1" applyAlignment="1">
      <alignment wrapText="1"/>
    </xf>
    <xf numFmtId="0" fontId="6" fillId="4" borderId="26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4" borderId="28" xfId="0" applyFont="1" applyFill="1" applyBorder="1" applyAlignment="1">
      <alignment vertical="top" wrapText="1"/>
    </xf>
    <xf numFmtId="0" fontId="7" fillId="4" borderId="29" xfId="0" applyFont="1" applyFill="1" applyBorder="1" applyAlignment="1">
      <alignment/>
    </xf>
    <xf numFmtId="0" fontId="11" fillId="4" borderId="30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wrapText="1"/>
    </xf>
    <xf numFmtId="0" fontId="11" fillId="8" borderId="31" xfId="0" applyFont="1" applyFill="1" applyBorder="1" applyAlignment="1">
      <alignment vertical="top" wrapText="1"/>
    </xf>
    <xf numFmtId="0" fontId="11" fillId="8" borderId="32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/>
    </xf>
    <xf numFmtId="0" fontId="6" fillId="2" borderId="26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21" fillId="8" borderId="0" xfId="0" applyFont="1" applyFill="1" applyBorder="1" applyAlignment="1">
      <alignment horizontal="centerContinuous" vertical="center"/>
    </xf>
    <xf numFmtId="0" fontId="6" fillId="8" borderId="0" xfId="0" applyFont="1" applyFill="1" applyBorder="1" applyAlignment="1">
      <alignment horizontal="righ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8" fillId="8" borderId="0" xfId="0" applyNumberFormat="1" applyFont="1" applyFill="1" applyBorder="1" applyAlignment="1">
      <alignment horizontal="center" wrapText="1"/>
    </xf>
    <xf numFmtId="49" fontId="22" fillId="8" borderId="0" xfId="0" applyNumberFormat="1" applyFont="1" applyFill="1" applyAlignment="1">
      <alignment wrapText="1"/>
    </xf>
    <xf numFmtId="0" fontId="22" fillId="8" borderId="0" xfId="0" applyFont="1" applyFill="1" applyAlignment="1">
      <alignment horizontal="center"/>
    </xf>
    <xf numFmtId="0" fontId="6" fillId="2" borderId="3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Continuous" vertical="top" wrapText="1"/>
    </xf>
    <xf numFmtId="0" fontId="9" fillId="7" borderId="0" xfId="0" applyFont="1" applyFill="1" applyBorder="1" applyAlignment="1">
      <alignment horizontal="centerContinuous" vertical="top" wrapText="1"/>
    </xf>
    <xf numFmtId="0" fontId="9" fillId="2" borderId="4" xfId="0" applyFont="1" applyFill="1" applyBorder="1" applyAlignment="1">
      <alignment vertical="top" wrapText="1"/>
    </xf>
    <xf numFmtId="0" fontId="11" fillId="8" borderId="10" xfId="0" applyFont="1" applyFill="1" applyBorder="1" applyAlignment="1">
      <alignment horizontal="centerContinuous" vertical="top" wrapText="1"/>
    </xf>
    <xf numFmtId="0" fontId="9" fillId="6" borderId="4" xfId="0" applyFont="1" applyFill="1" applyBorder="1" applyAlignment="1">
      <alignment horizontal="centerContinuous" vertical="top" wrapText="1"/>
    </xf>
    <xf numFmtId="0" fontId="11" fillId="3" borderId="20" xfId="0" applyFont="1" applyFill="1" applyBorder="1" applyAlignment="1">
      <alignment vertical="top" wrapText="1"/>
    </xf>
    <xf numFmtId="0" fontId="8" fillId="3" borderId="35" xfId="0" applyNumberFormat="1" applyFont="1" applyFill="1" applyBorder="1" applyAlignment="1">
      <alignment horizontal="centerContinuous" wrapText="1"/>
    </xf>
    <xf numFmtId="0" fontId="11" fillId="3" borderId="20" xfId="0" applyFont="1" applyFill="1" applyBorder="1" applyAlignment="1">
      <alignment vertical="center"/>
    </xf>
    <xf numFmtId="0" fontId="11" fillId="13" borderId="26" xfId="0" applyFont="1" applyFill="1" applyBorder="1" applyAlignment="1">
      <alignment horizontal="centerContinuous" wrapText="1"/>
    </xf>
    <xf numFmtId="0" fontId="24" fillId="13" borderId="14" xfId="0" applyFont="1" applyFill="1" applyBorder="1" applyAlignment="1">
      <alignment horizontal="centerContinuous"/>
    </xf>
    <xf numFmtId="0" fontId="24" fillId="13" borderId="17" xfId="0" applyFont="1" applyFill="1" applyBorder="1" applyAlignment="1">
      <alignment horizontal="centerContinuous"/>
    </xf>
    <xf numFmtId="0" fontId="25" fillId="8" borderId="36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top" wrapText="1"/>
    </xf>
    <xf numFmtId="0" fontId="23" fillId="8" borderId="38" xfId="0" applyFont="1" applyFill="1" applyBorder="1" applyAlignment="1">
      <alignment horizontal="center" vertical="top" wrapText="1"/>
    </xf>
    <xf numFmtId="0" fontId="23" fillId="8" borderId="39" xfId="0" applyFont="1" applyFill="1" applyBorder="1" applyAlignment="1">
      <alignment horizontal="center" vertical="top" wrapText="1"/>
    </xf>
    <xf numFmtId="0" fontId="16" fillId="8" borderId="21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16" fillId="8" borderId="15" xfId="0" applyFont="1" applyFill="1" applyBorder="1" applyAlignment="1">
      <alignment vertical="center" wrapText="1"/>
    </xf>
    <xf numFmtId="0" fontId="25" fillId="8" borderId="0" xfId="0" applyFont="1" applyFill="1" applyAlignment="1">
      <alignment/>
    </xf>
    <xf numFmtId="0" fontId="25" fillId="0" borderId="0" xfId="0" applyFont="1" applyAlignment="1">
      <alignment/>
    </xf>
    <xf numFmtId="0" fontId="13" fillId="2" borderId="40" xfId="0" applyFont="1" applyFill="1" applyBorder="1" applyAlignment="1">
      <alignment horizontal="centerContinuous"/>
    </xf>
    <xf numFmtId="0" fontId="7" fillId="2" borderId="41" xfId="0" applyFont="1" applyFill="1" applyBorder="1" applyAlignment="1">
      <alignment horizontal="centerContinuous"/>
    </xf>
    <xf numFmtId="0" fontId="7" fillId="2" borderId="42" xfId="0" applyFont="1" applyFill="1" applyBorder="1" applyAlignment="1">
      <alignment horizontal="centerContinuous"/>
    </xf>
    <xf numFmtId="0" fontId="16" fillId="0" borderId="4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3" fillId="2" borderId="40" xfId="0" applyFont="1" applyFill="1" applyBorder="1" applyAlignment="1">
      <alignment horizontal="centerContinuous"/>
    </xf>
    <xf numFmtId="0" fontId="11" fillId="2" borderId="41" xfId="0" applyFont="1" applyFill="1" applyBorder="1" applyAlignment="1">
      <alignment horizontal="centerContinuous"/>
    </xf>
    <xf numFmtId="0" fontId="13" fillId="2" borderId="42" xfId="0" applyFont="1" applyFill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7" fillId="2" borderId="53" xfId="0" applyFont="1" applyFill="1" applyBorder="1" applyAlignment="1">
      <alignment horizontal="centerContinuous"/>
    </xf>
    <xf numFmtId="0" fontId="7" fillId="2" borderId="54" xfId="0" applyFont="1" applyFill="1" applyBorder="1" applyAlignment="1">
      <alignment horizontal="centerContinuous"/>
    </xf>
    <xf numFmtId="0" fontId="16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11" fillId="13" borderId="55" xfId="0" applyFont="1" applyFill="1" applyBorder="1" applyAlignment="1">
      <alignment horizontal="centerContinuous"/>
    </xf>
    <xf numFmtId="0" fontId="16" fillId="8" borderId="56" xfId="0" applyFont="1" applyFill="1" applyBorder="1" applyAlignment="1">
      <alignment horizontal="center"/>
    </xf>
    <xf numFmtId="0" fontId="16" fillId="8" borderId="57" xfId="0" applyFont="1" applyFill="1" applyBorder="1" applyAlignment="1">
      <alignment horizontal="centerContinuous"/>
    </xf>
    <xf numFmtId="0" fontId="16" fillId="8" borderId="58" xfId="0" applyFont="1" applyFill="1" applyBorder="1" applyAlignment="1">
      <alignment horizontal="centerContinuous"/>
    </xf>
    <xf numFmtId="0" fontId="16" fillId="8" borderId="58" xfId="0" applyFont="1" applyFill="1" applyBorder="1" applyAlignment="1">
      <alignment horizontal="center"/>
    </xf>
    <xf numFmtId="0" fontId="16" fillId="8" borderId="59" xfId="0" applyFont="1" applyFill="1" applyBorder="1" applyAlignment="1">
      <alignment horizontal="center"/>
    </xf>
    <xf numFmtId="0" fontId="9" fillId="8" borderId="60" xfId="0" applyFont="1" applyFill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Continuous" vertical="top" wrapText="1"/>
    </xf>
    <xf numFmtId="0" fontId="9" fillId="8" borderId="61" xfId="0" applyFont="1" applyFill="1" applyBorder="1" applyAlignment="1">
      <alignment horizontal="centerContinuous" vertical="top" wrapText="1"/>
    </xf>
    <xf numFmtId="0" fontId="9" fillId="8" borderId="62" xfId="0" applyFont="1" applyFill="1" applyBorder="1" applyAlignment="1">
      <alignment horizontal="center" vertical="top" wrapText="1"/>
    </xf>
    <xf numFmtId="0" fontId="9" fillId="8" borderId="63" xfId="0" applyFont="1" applyFill="1" applyBorder="1" applyAlignment="1">
      <alignment horizontal="center" vertical="top" wrapText="1"/>
    </xf>
    <xf numFmtId="0" fontId="9" fillId="8" borderId="64" xfId="0" applyFont="1" applyFill="1" applyBorder="1" applyAlignment="1">
      <alignment horizontal="center" vertical="top" wrapText="1"/>
    </xf>
    <xf numFmtId="0" fontId="9" fillId="8" borderId="51" xfId="0" applyFont="1" applyFill="1" applyBorder="1" applyAlignment="1">
      <alignment horizontal="center" vertical="top" wrapText="1"/>
    </xf>
    <xf numFmtId="0" fontId="9" fillId="8" borderId="65" xfId="0" applyFont="1" applyFill="1" applyBorder="1" applyAlignment="1">
      <alignment horizontal="center" vertical="top" wrapText="1"/>
    </xf>
    <xf numFmtId="0" fontId="9" fillId="8" borderId="52" xfId="0" applyFont="1" applyFill="1" applyBorder="1" applyAlignment="1">
      <alignment horizontal="center" vertical="top" wrapText="1"/>
    </xf>
    <xf numFmtId="0" fontId="0" fillId="0" borderId="66" xfId="0" applyBorder="1" applyAlignment="1">
      <alignment/>
    </xf>
    <xf numFmtId="0" fontId="0" fillId="0" borderId="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1" fillId="2" borderId="3" xfId="0" applyFont="1" applyFill="1" applyBorder="1" applyAlignment="1">
      <alignment/>
    </xf>
    <xf numFmtId="0" fontId="9" fillId="2" borderId="34" xfId="0" applyFont="1" applyFill="1" applyBorder="1" applyAlignment="1">
      <alignment/>
    </xf>
    <xf numFmtId="0" fontId="16" fillId="2" borderId="34" xfId="0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0" fontId="9" fillId="2" borderId="72" xfId="0" applyFont="1" applyFill="1" applyBorder="1" applyAlignment="1">
      <alignment horizontal="centerContinuous"/>
    </xf>
    <xf numFmtId="0" fontId="9" fillId="8" borderId="43" xfId="0" applyFont="1" applyFill="1" applyBorder="1" applyAlignment="1">
      <alignment horizontal="center"/>
    </xf>
    <xf numFmtId="0" fontId="9" fillId="8" borderId="38" xfId="0" applyFont="1" applyFill="1" applyBorder="1" applyAlignment="1">
      <alignment horizontal="center"/>
    </xf>
    <xf numFmtId="0" fontId="9" fillId="8" borderId="39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9" fillId="8" borderId="45" xfId="0" applyFont="1" applyFill="1" applyBorder="1" applyAlignment="1">
      <alignment horizontal="center"/>
    </xf>
    <xf numFmtId="0" fontId="9" fillId="8" borderId="46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left"/>
    </xf>
    <xf numFmtId="0" fontId="11" fillId="8" borderId="29" xfId="0" applyFont="1" applyFill="1" applyBorder="1" applyAlignment="1">
      <alignment horizontal="left"/>
    </xf>
    <xf numFmtId="0" fontId="9" fillId="8" borderId="45" xfId="0" applyFont="1" applyFill="1" applyBorder="1" applyAlignment="1">
      <alignment/>
    </xf>
    <xf numFmtId="0" fontId="9" fillId="8" borderId="46" xfId="0" applyFont="1" applyFill="1" applyBorder="1" applyAlignment="1">
      <alignment/>
    </xf>
    <xf numFmtId="0" fontId="11" fillId="8" borderId="73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left"/>
    </xf>
    <xf numFmtId="0" fontId="9" fillId="8" borderId="48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26" fillId="8" borderId="56" xfId="0" applyFont="1" applyFill="1" applyBorder="1" applyAlignment="1">
      <alignment horizontal="center"/>
    </xf>
    <xf numFmtId="0" fontId="26" fillId="8" borderId="57" xfId="0" applyFont="1" applyFill="1" applyBorder="1" applyAlignment="1">
      <alignment horizontal="centerContinuous"/>
    </xf>
    <xf numFmtId="0" fontId="26" fillId="8" borderId="58" xfId="0" applyFont="1" applyFill="1" applyBorder="1" applyAlignment="1">
      <alignment horizontal="centerContinuous"/>
    </xf>
    <xf numFmtId="0" fontId="26" fillId="8" borderId="58" xfId="0" applyFont="1" applyFill="1" applyBorder="1" applyAlignment="1">
      <alignment horizontal="center"/>
    </xf>
    <xf numFmtId="0" fontId="26" fillId="8" borderId="5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2" borderId="3" xfId="0" applyFont="1" applyFill="1" applyBorder="1" applyAlignment="1">
      <alignment horizontal="centerContinuous"/>
    </xf>
    <xf numFmtId="0" fontId="16" fillId="2" borderId="72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" vertical="center" wrapText="1"/>
    </xf>
    <xf numFmtId="0" fontId="11" fillId="8" borderId="73" xfId="0" applyFont="1" applyFill="1" applyBorder="1" applyAlignment="1">
      <alignment vertical="top" wrapText="1"/>
    </xf>
    <xf numFmtId="0" fontId="11" fillId="8" borderId="48" xfId="0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center" vertical="top" wrapText="1"/>
    </xf>
    <xf numFmtId="0" fontId="11" fillId="8" borderId="9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74" xfId="0" applyNumberFormat="1" applyFont="1" applyFill="1" applyBorder="1" applyAlignment="1">
      <alignment horizontal="center" vertical="center" wrapText="1"/>
    </xf>
    <xf numFmtId="3" fontId="10" fillId="0" borderId="75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68" xfId="0" applyNumberFormat="1" applyFont="1" applyBorder="1" applyAlignment="1">
      <alignment horizontal="right" vertical="top" wrapText="1"/>
    </xf>
    <xf numFmtId="3" fontId="14" fillId="0" borderId="23" xfId="0" applyNumberFormat="1" applyFont="1" applyBorder="1" applyAlignment="1">
      <alignment horizontal="right" wrapText="1"/>
    </xf>
    <xf numFmtId="3" fontId="14" fillId="0" borderId="76" xfId="0" applyNumberFormat="1" applyFont="1" applyBorder="1" applyAlignment="1">
      <alignment horizontal="right" wrapText="1"/>
    </xf>
    <xf numFmtId="3" fontId="10" fillId="0" borderId="22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 wrapText="1"/>
    </xf>
    <xf numFmtId="3" fontId="14" fillId="0" borderId="71" xfId="0" applyNumberFormat="1" applyFont="1" applyBorder="1" applyAlignment="1">
      <alignment horizontal="right" wrapText="1"/>
    </xf>
    <xf numFmtId="3" fontId="7" fillId="3" borderId="0" xfId="0" applyNumberFormat="1" applyFont="1" applyFill="1" applyBorder="1" applyAlignment="1">
      <alignment/>
    </xf>
    <xf numFmtId="3" fontId="8" fillId="3" borderId="5" xfId="0" applyNumberFormat="1" applyFont="1" applyFill="1" applyBorder="1" applyAlignment="1">
      <alignment horizontal="right" wrapText="1"/>
    </xf>
    <xf numFmtId="3" fontId="14" fillId="0" borderId="2" xfId="0" applyNumberFormat="1" applyFont="1" applyBorder="1" applyAlignment="1">
      <alignment horizontal="right" vertical="top" wrapText="1"/>
    </xf>
    <xf numFmtId="3" fontId="14" fillId="0" borderId="7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8" fillId="2" borderId="17" xfId="0" applyNumberFormat="1" applyFont="1" applyFill="1" applyBorder="1" applyAlignment="1">
      <alignment horizontal="center" wrapText="1"/>
    </xf>
    <xf numFmtId="3" fontId="14" fillId="0" borderId="68" xfId="0" applyNumberFormat="1" applyFont="1" applyBorder="1" applyAlignment="1">
      <alignment horizontal="right" vertical="top" wrapText="1"/>
    </xf>
    <xf numFmtId="3" fontId="14" fillId="0" borderId="17" xfId="0" applyNumberFormat="1" applyFont="1" applyBorder="1" applyAlignment="1">
      <alignment horizontal="right" vertical="top" wrapText="1"/>
    </xf>
    <xf numFmtId="3" fontId="12" fillId="8" borderId="5" xfId="0" applyNumberFormat="1" applyFont="1" applyFill="1" applyBorder="1" applyAlignment="1">
      <alignment horizontal="centerContinuous" vertical="top" wrapText="1"/>
    </xf>
    <xf numFmtId="3" fontId="14" fillId="3" borderId="68" xfId="0" applyNumberFormat="1" applyFont="1" applyFill="1" applyBorder="1" applyAlignment="1">
      <alignment horizontal="right" vertical="top" wrapText="1"/>
    </xf>
    <xf numFmtId="3" fontId="10" fillId="3" borderId="68" xfId="0" applyNumberFormat="1" applyFont="1" applyFill="1" applyBorder="1" applyAlignment="1">
      <alignment horizontal="right" vertical="top" wrapText="1"/>
    </xf>
    <xf numFmtId="3" fontId="14" fillId="3" borderId="71" xfId="0" applyNumberFormat="1" applyFont="1" applyFill="1" applyBorder="1" applyAlignment="1">
      <alignment horizontal="right" vertical="top" wrapText="1"/>
    </xf>
    <xf numFmtId="3" fontId="14" fillId="3" borderId="0" xfId="0" applyNumberFormat="1" applyFont="1" applyFill="1" applyBorder="1" applyAlignment="1">
      <alignment horizontal="right" vertical="top" wrapText="1"/>
    </xf>
    <xf numFmtId="3" fontId="7" fillId="8" borderId="0" xfId="0" applyNumberFormat="1" applyFont="1" applyFill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right" wrapText="1"/>
    </xf>
    <xf numFmtId="3" fontId="8" fillId="3" borderId="68" xfId="0" applyNumberFormat="1" applyFont="1" applyFill="1" applyBorder="1" applyAlignment="1">
      <alignment horizontal="right" wrapText="1"/>
    </xf>
    <xf numFmtId="3" fontId="10" fillId="8" borderId="0" xfId="0" applyNumberFormat="1" applyFont="1" applyFill="1" applyBorder="1" applyAlignment="1">
      <alignment horizontal="right" vertical="center" wrapText="1"/>
    </xf>
    <xf numFmtId="3" fontId="10" fillId="8" borderId="0" xfId="0" applyNumberFormat="1" applyFont="1" applyFill="1" applyAlignment="1">
      <alignment horizontal="centerContinuous" vertical="top" wrapText="1"/>
    </xf>
    <xf numFmtId="3" fontId="10" fillId="8" borderId="0" xfId="0" applyNumberFormat="1" applyFont="1" applyFill="1" applyAlignment="1">
      <alignment horizontal="center" vertical="top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vertical="top" wrapText="1"/>
    </xf>
    <xf numFmtId="3" fontId="14" fillId="0" borderId="68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/>
    </xf>
    <xf numFmtId="3" fontId="10" fillId="8" borderId="0" xfId="0" applyNumberFormat="1" applyFont="1" applyFill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3" fontId="14" fillId="0" borderId="77" xfId="0" applyNumberFormat="1" applyFont="1" applyBorder="1" applyAlignment="1">
      <alignment horizontal="right" vertical="top" wrapText="1"/>
    </xf>
    <xf numFmtId="3" fontId="10" fillId="0" borderId="78" xfId="0" applyNumberFormat="1" applyFont="1" applyBorder="1" applyAlignment="1">
      <alignment horizontal="right" vertical="top" wrapText="1"/>
    </xf>
    <xf numFmtId="3" fontId="7" fillId="8" borderId="0" xfId="0" applyNumberFormat="1" applyFont="1" applyFill="1" applyAlignment="1">
      <alignment horizontal="right" wrapText="1"/>
    </xf>
    <xf numFmtId="3" fontId="14" fillId="8" borderId="0" xfId="0" applyNumberFormat="1" applyFont="1" applyFill="1" applyBorder="1" applyAlignment="1">
      <alignment horizontal="right" vertical="top" wrapText="1"/>
    </xf>
    <xf numFmtId="3" fontId="10" fillId="8" borderId="0" xfId="0" applyNumberFormat="1" applyFont="1" applyFill="1" applyBorder="1" applyAlignment="1">
      <alignment horizontal="right" vertical="top" wrapText="1"/>
    </xf>
    <xf numFmtId="3" fontId="10" fillId="8" borderId="12" xfId="0" applyNumberFormat="1" applyFont="1" applyFill="1" applyBorder="1" applyAlignment="1">
      <alignment horizontal="right" vertical="top" wrapText="1"/>
    </xf>
    <xf numFmtId="3" fontId="10" fillId="8" borderId="68" xfId="0" applyNumberFormat="1" applyFont="1" applyFill="1" applyBorder="1" applyAlignment="1">
      <alignment horizontal="right" vertical="top" wrapText="1"/>
    </xf>
    <xf numFmtId="3" fontId="7" fillId="8" borderId="0" xfId="0" applyNumberFormat="1" applyFont="1" applyFill="1" applyBorder="1" applyAlignment="1">
      <alignment horizontal="right"/>
    </xf>
    <xf numFmtId="3" fontId="7" fillId="3" borderId="12" xfId="0" applyNumberFormat="1" applyFont="1" applyFill="1" applyBorder="1" applyAlignment="1">
      <alignment horizontal="right"/>
    </xf>
    <xf numFmtId="3" fontId="8" fillId="11" borderId="35" xfId="0" applyNumberFormat="1" applyFont="1" applyFill="1" applyBorder="1" applyAlignment="1">
      <alignment horizontal="centerContinuous" wrapText="1"/>
    </xf>
    <xf numFmtId="3" fontId="13" fillId="3" borderId="35" xfId="0" applyNumberFormat="1" applyFont="1" applyFill="1" applyBorder="1" applyAlignment="1">
      <alignment horizontal="centerContinuous"/>
    </xf>
    <xf numFmtId="3" fontId="0" fillId="0" borderId="35" xfId="0" applyNumberFormat="1" applyBorder="1" applyAlignment="1">
      <alignment horizontal="centerContinuous"/>
    </xf>
    <xf numFmtId="3" fontId="0" fillId="8" borderId="0" xfId="0" applyNumberFormat="1" applyFill="1" applyAlignment="1">
      <alignment/>
    </xf>
    <xf numFmtId="3" fontId="8" fillId="3" borderId="2" xfId="0" applyNumberFormat="1" applyFont="1" applyFill="1" applyBorder="1" applyAlignment="1">
      <alignment horizontal="right" wrapText="1"/>
    </xf>
    <xf numFmtId="3" fontId="8" fillId="3" borderId="71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 wrapText="1"/>
    </xf>
    <xf numFmtId="3" fontId="11" fillId="8" borderId="0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centerContinuous" wrapText="1"/>
    </xf>
    <xf numFmtId="3" fontId="8" fillId="3" borderId="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center" vertical="top" wrapText="1"/>
    </xf>
    <xf numFmtId="3" fontId="11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centerContinuous" wrapText="1"/>
    </xf>
    <xf numFmtId="3" fontId="22" fillId="8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0" fillId="0" borderId="68" xfId="0" applyNumberFormat="1" applyFont="1" applyBorder="1" applyAlignment="1">
      <alignment horizontal="right" wrapText="1"/>
    </xf>
    <xf numFmtId="4" fontId="14" fillId="0" borderId="19" xfId="0" applyNumberFormat="1" applyFont="1" applyBorder="1" applyAlignment="1">
      <alignment horizontal="right" wrapText="1"/>
    </xf>
    <xf numFmtId="3" fontId="14" fillId="0" borderId="14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14" fillId="0" borderId="68" xfId="0" applyNumberFormat="1" applyFont="1" applyFill="1" applyBorder="1" applyAlignment="1">
      <alignment horizontal="righ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3" fontId="14" fillId="3" borderId="68" xfId="0" applyNumberFormat="1" applyFont="1" applyFill="1" applyBorder="1" applyAlignment="1">
      <alignment horizontal="right" wrapText="1"/>
    </xf>
    <xf numFmtId="3" fontId="10" fillId="3" borderId="68" xfId="0" applyNumberFormat="1" applyFont="1" applyFill="1" applyBorder="1" applyAlignment="1">
      <alignment horizontal="right" wrapText="1"/>
    </xf>
    <xf numFmtId="3" fontId="14" fillId="3" borderId="68" xfId="0" applyNumberFormat="1" applyFont="1" applyFill="1" applyBorder="1" applyAlignment="1">
      <alignment horizontal="right" vertical="top" wrapText="1"/>
    </xf>
    <xf numFmtId="0" fontId="9" fillId="4" borderId="8" xfId="0" applyFont="1" applyFill="1" applyBorder="1" applyAlignment="1">
      <alignment vertical="top"/>
    </xf>
    <xf numFmtId="3" fontId="14" fillId="3" borderId="68" xfId="0" applyNumberFormat="1" applyFont="1" applyFill="1" applyBorder="1" applyAlignment="1">
      <alignment horizontal="right" wrapText="1"/>
    </xf>
    <xf numFmtId="0" fontId="9" fillId="4" borderId="8" xfId="0" applyFont="1" applyFill="1" applyBorder="1" applyAlignment="1">
      <alignment/>
    </xf>
    <xf numFmtId="3" fontId="10" fillId="0" borderId="68" xfId="0" applyNumberFormat="1" applyFont="1" applyBorder="1" applyAlignment="1">
      <alignment horizontal="right" vertical="top" wrapText="1"/>
    </xf>
    <xf numFmtId="0" fontId="10" fillId="10" borderId="11" xfId="0" applyFont="1" applyFill="1" applyBorder="1" applyAlignment="1">
      <alignment horizontal="center" vertical="top" wrapText="1"/>
    </xf>
    <xf numFmtId="0" fontId="14" fillId="10" borderId="11" xfId="0" applyFont="1" applyFill="1" applyBorder="1" applyAlignment="1">
      <alignment horizontal="center" vertical="top" wrapText="1"/>
    </xf>
    <xf numFmtId="0" fontId="11" fillId="8" borderId="16" xfId="0" applyFont="1" applyFill="1" applyBorder="1" applyAlignment="1">
      <alignment horizontal="center" vertical="top" wrapText="1"/>
    </xf>
    <xf numFmtId="0" fontId="11" fillId="8" borderId="16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vertical="top"/>
    </xf>
    <xf numFmtId="0" fontId="11" fillId="6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3" fontId="10" fillId="0" borderId="68" xfId="0" applyNumberFormat="1" applyFont="1" applyFill="1" applyBorder="1" applyAlignment="1">
      <alignment horizontal="right" vertical="top" wrapText="1"/>
    </xf>
    <xf numFmtId="3" fontId="14" fillId="0" borderId="71" xfId="0" applyNumberFormat="1" applyFont="1" applyFill="1" applyBorder="1" applyAlignment="1">
      <alignment horizontal="right" vertical="top" wrapText="1"/>
    </xf>
    <xf numFmtId="3" fontId="10" fillId="8" borderId="68" xfId="0" applyNumberFormat="1" applyFont="1" applyFill="1" applyBorder="1" applyAlignment="1">
      <alignment horizontal="right" wrapText="1"/>
    </xf>
    <xf numFmtId="3" fontId="14" fillId="8" borderId="71" xfId="0" applyNumberFormat="1" applyFont="1" applyFill="1" applyBorder="1" applyAlignment="1">
      <alignment horizontal="right" wrapText="1"/>
    </xf>
    <xf numFmtId="3" fontId="10" fillId="8" borderId="68" xfId="0" applyNumberFormat="1" applyFont="1" applyFill="1" applyBorder="1" applyAlignment="1">
      <alignment horizontal="right" vertical="top" wrapText="1"/>
    </xf>
    <xf numFmtId="3" fontId="9" fillId="8" borderId="68" xfId="0" applyNumberFormat="1" applyFont="1" applyFill="1" applyBorder="1" applyAlignment="1">
      <alignment horizontal="right"/>
    </xf>
    <xf numFmtId="3" fontId="11" fillId="8" borderId="71" xfId="0" applyNumberFormat="1" applyFont="1" applyFill="1" applyBorder="1" applyAlignment="1">
      <alignment horizontal="right"/>
    </xf>
    <xf numFmtId="3" fontId="9" fillId="0" borderId="68" xfId="0" applyNumberFormat="1" applyFont="1" applyBorder="1" applyAlignment="1">
      <alignment horizontal="right"/>
    </xf>
    <xf numFmtId="3" fontId="11" fillId="0" borderId="71" xfId="0" applyNumberFormat="1" applyFont="1" applyBorder="1" applyAlignment="1">
      <alignment horizontal="right"/>
    </xf>
    <xf numFmtId="3" fontId="9" fillId="3" borderId="68" xfId="0" applyNumberFormat="1" applyFont="1" applyFill="1" applyBorder="1" applyAlignment="1">
      <alignment horizontal="right"/>
    </xf>
    <xf numFmtId="3" fontId="11" fillId="3" borderId="7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vertical="top" wrapText="1"/>
    </xf>
    <xf numFmtId="3" fontId="10" fillId="0" borderId="68" xfId="0" applyNumberFormat="1" applyFont="1" applyBorder="1" applyAlignment="1">
      <alignment vertical="top" wrapText="1"/>
    </xf>
    <xf numFmtId="0" fontId="11" fillId="3" borderId="9" xfId="0" applyFont="1" applyFill="1" applyBorder="1" applyAlignment="1">
      <alignment vertical="center" wrapText="1"/>
    </xf>
    <xf numFmtId="3" fontId="11" fillId="3" borderId="68" xfId="0" applyNumberFormat="1" applyFont="1" applyFill="1" applyBorder="1" applyAlignment="1">
      <alignment horizontal="right"/>
    </xf>
    <xf numFmtId="3" fontId="10" fillId="3" borderId="68" xfId="0" applyNumberFormat="1" applyFont="1" applyFill="1" applyBorder="1" applyAlignment="1">
      <alignment horizontal="right" wrapText="1"/>
    </xf>
    <xf numFmtId="0" fontId="9" fillId="3" borderId="8" xfId="0" applyFont="1" applyFill="1" applyBorder="1" applyAlignment="1">
      <alignment vertical="top"/>
    </xf>
    <xf numFmtId="0" fontId="24" fillId="13" borderId="79" xfId="0" applyFont="1" applyFill="1" applyBorder="1" applyAlignment="1">
      <alignment horizontal="centerContinuous"/>
    </xf>
    <xf numFmtId="0" fontId="23" fillId="8" borderId="23" xfId="0" applyFont="1" applyFill="1" applyBorder="1" applyAlignment="1">
      <alignment horizontal="center" vertical="top" wrapText="1"/>
    </xf>
    <xf numFmtId="3" fontId="24" fillId="0" borderId="80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81" xfId="0" applyNumberFormat="1" applyFont="1" applyBorder="1" applyAlignment="1">
      <alignment/>
    </xf>
    <xf numFmtId="3" fontId="24" fillId="0" borderId="82" xfId="0" applyNumberFormat="1" applyFont="1" applyBorder="1" applyAlignment="1">
      <alignment/>
    </xf>
    <xf numFmtId="3" fontId="24" fillId="0" borderId="8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78" xfId="0" applyNumberFormat="1" applyFont="1" applyBorder="1" applyAlignment="1">
      <alignment/>
    </xf>
    <xf numFmtId="3" fontId="24" fillId="0" borderId="84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3" fontId="24" fillId="0" borderId="87" xfId="0" applyNumberFormat="1" applyFont="1" applyBorder="1" applyAlignment="1">
      <alignment/>
    </xf>
    <xf numFmtId="3" fontId="24" fillId="0" borderId="2" xfId="0" applyNumberFormat="1" applyFont="1" applyBorder="1" applyAlignment="1">
      <alignment/>
    </xf>
    <xf numFmtId="3" fontId="24" fillId="0" borderId="71" xfId="0" applyNumberFormat="1" applyFont="1" applyBorder="1" applyAlignment="1">
      <alignment/>
    </xf>
    <xf numFmtId="3" fontId="14" fillId="3" borderId="2" xfId="0" applyNumberFormat="1" applyFont="1" applyFill="1" applyBorder="1" applyAlignment="1">
      <alignment horizontal="right" wrapText="1"/>
    </xf>
    <xf numFmtId="3" fontId="14" fillId="3" borderId="71" xfId="0" applyNumberFormat="1" applyFont="1" applyFill="1" applyBorder="1" applyAlignment="1">
      <alignment horizontal="right" wrapText="1"/>
    </xf>
    <xf numFmtId="3" fontId="14" fillId="3" borderId="71" xfId="0" applyNumberFormat="1" applyFont="1" applyFill="1" applyBorder="1" applyAlignment="1">
      <alignment horizontal="right" vertical="center" wrapText="1"/>
    </xf>
    <xf numFmtId="3" fontId="10" fillId="0" borderId="88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/>
    </xf>
    <xf numFmtId="3" fontId="9" fillId="0" borderId="88" xfId="0" applyNumberFormat="1" applyFont="1" applyBorder="1" applyAlignment="1">
      <alignment/>
    </xf>
    <xf numFmtId="0" fontId="14" fillId="10" borderId="12" xfId="0" applyFont="1" applyFill="1" applyBorder="1" applyAlignment="1">
      <alignment horizontal="center" vertical="top" wrapText="1"/>
    </xf>
    <xf numFmtId="3" fontId="10" fillId="3" borderId="78" xfId="0" applyNumberFormat="1" applyFont="1" applyFill="1" applyBorder="1" applyAlignment="1">
      <alignment horizontal="right" wrapText="1"/>
    </xf>
    <xf numFmtId="0" fontId="11" fillId="0" borderId="36" xfId="0" applyFont="1" applyBorder="1" applyAlignment="1">
      <alignment horizontal="center"/>
    </xf>
    <xf numFmtId="3" fontId="9" fillId="0" borderId="45" xfId="0" applyNumberFormat="1" applyFont="1" applyBorder="1" applyAlignment="1">
      <alignment/>
    </xf>
    <xf numFmtId="0" fontId="11" fillId="0" borderId="3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" fontId="9" fillId="0" borderId="45" xfId="0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8" borderId="29" xfId="0" applyFont="1" applyFill="1" applyBorder="1" applyAlignment="1">
      <alignment horizontal="left"/>
    </xf>
    <xf numFmtId="3" fontId="11" fillId="8" borderId="89" xfId="0" applyNumberFormat="1" applyFont="1" applyFill="1" applyBorder="1" applyAlignment="1">
      <alignment/>
    </xf>
    <xf numFmtId="3" fontId="11" fillId="8" borderId="90" xfId="0" applyNumberFormat="1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" fontId="14" fillId="0" borderId="91" xfId="0" applyNumberFormat="1" applyFont="1" applyBorder="1" applyAlignment="1">
      <alignment horizontal="right" wrapText="1"/>
    </xf>
    <xf numFmtId="4" fontId="14" fillId="0" borderId="71" xfId="0" applyNumberFormat="1" applyFont="1" applyFill="1" applyBorder="1" applyAlignment="1">
      <alignment horizontal="right" vertical="top" wrapText="1"/>
    </xf>
    <xf numFmtId="4" fontId="14" fillId="0" borderId="71" xfId="0" applyNumberFormat="1" applyFont="1" applyBorder="1" applyAlignment="1">
      <alignment horizontal="right" vertical="top" wrapText="1"/>
    </xf>
    <xf numFmtId="0" fontId="9" fillId="4" borderId="7" xfId="0" applyFont="1" applyFill="1" applyBorder="1" applyAlignment="1">
      <alignment horizontal="center" wrapText="1"/>
    </xf>
    <xf numFmtId="3" fontId="7" fillId="4" borderId="89" xfId="0" applyNumberFormat="1" applyFont="1" applyFill="1" applyBorder="1" applyAlignment="1">
      <alignment horizontal="right"/>
    </xf>
    <xf numFmtId="3" fontId="7" fillId="3" borderId="38" xfId="0" applyNumberFormat="1" applyFont="1" applyFill="1" applyBorder="1" applyAlignment="1">
      <alignment/>
    </xf>
    <xf numFmtId="3" fontId="7" fillId="4" borderId="92" xfId="0" applyNumberFormat="1" applyFont="1" applyFill="1" applyBorder="1" applyAlignment="1">
      <alignment horizontal="right"/>
    </xf>
    <xf numFmtId="3" fontId="10" fillId="0" borderId="75" xfId="0" applyNumberFormat="1" applyFont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vertical="top" wrapText="1"/>
    </xf>
    <xf numFmtId="4" fontId="6" fillId="0" borderId="71" xfId="0" applyNumberFormat="1" applyFont="1" applyFill="1" applyBorder="1" applyAlignment="1">
      <alignment horizontal="right" vertical="top" wrapText="1"/>
    </xf>
    <xf numFmtId="3" fontId="10" fillId="0" borderId="84" xfId="0" applyNumberFormat="1" applyFont="1" applyBorder="1" applyAlignment="1">
      <alignment horizontal="right" vertical="top" wrapText="1"/>
    </xf>
    <xf numFmtId="3" fontId="14" fillId="0" borderId="93" xfId="0" applyNumberFormat="1" applyFont="1" applyBorder="1" applyAlignment="1">
      <alignment horizontal="right" vertical="top" wrapText="1"/>
    </xf>
    <xf numFmtId="3" fontId="8" fillId="2" borderId="79" xfId="0" applyNumberFormat="1" applyFont="1" applyFill="1" applyBorder="1" applyAlignment="1">
      <alignment horizontal="center" wrapText="1"/>
    </xf>
    <xf numFmtId="3" fontId="14" fillId="0" borderId="84" xfId="0" applyNumberFormat="1" applyFont="1" applyBorder="1" applyAlignment="1">
      <alignment horizontal="right" vertical="top" wrapText="1"/>
    </xf>
    <xf numFmtId="3" fontId="10" fillId="0" borderId="84" xfId="0" applyNumberFormat="1" applyFont="1" applyBorder="1" applyAlignment="1">
      <alignment horizontal="right" wrapText="1"/>
    </xf>
    <xf numFmtId="3" fontId="14" fillId="0" borderId="79" xfId="0" applyNumberFormat="1" applyFont="1" applyBorder="1" applyAlignment="1">
      <alignment horizontal="right" vertical="top" wrapText="1"/>
    </xf>
    <xf numFmtId="4" fontId="14" fillId="0" borderId="93" xfId="0" applyNumberFormat="1" applyFont="1" applyBorder="1" applyAlignment="1">
      <alignment horizontal="right" vertical="top" wrapText="1"/>
    </xf>
    <xf numFmtId="3" fontId="12" fillId="8" borderId="0" xfId="0" applyNumberFormat="1" applyFont="1" applyFill="1" applyBorder="1" applyAlignment="1">
      <alignment horizontal="right" vertical="top" wrapText="1"/>
    </xf>
    <xf numFmtId="3" fontId="14" fillId="3" borderId="84" xfId="0" applyNumberFormat="1" applyFont="1" applyFill="1" applyBorder="1" applyAlignment="1">
      <alignment horizontal="right" vertical="top" wrapText="1"/>
    </xf>
    <xf numFmtId="3" fontId="10" fillId="3" borderId="84" xfId="0" applyNumberFormat="1" applyFont="1" applyFill="1" applyBorder="1" applyAlignment="1">
      <alignment horizontal="right" vertical="top" wrapText="1"/>
    </xf>
    <xf numFmtId="3" fontId="14" fillId="3" borderId="84" xfId="0" applyNumberFormat="1" applyFont="1" applyFill="1" applyBorder="1" applyAlignment="1">
      <alignment horizontal="right" wrapText="1"/>
    </xf>
    <xf numFmtId="3" fontId="14" fillId="3" borderId="84" xfId="0" applyNumberFormat="1" applyFont="1" applyFill="1" applyBorder="1" applyAlignment="1">
      <alignment horizontal="right" vertical="top" wrapText="1"/>
    </xf>
    <xf numFmtId="3" fontId="14" fillId="3" borderId="84" xfId="0" applyNumberFormat="1" applyFont="1" applyFill="1" applyBorder="1" applyAlignment="1">
      <alignment horizontal="right" wrapText="1"/>
    </xf>
    <xf numFmtId="3" fontId="10" fillId="3" borderId="84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wrapText="1"/>
    </xf>
    <xf numFmtId="3" fontId="14" fillId="3" borderId="93" xfId="0" applyNumberFormat="1" applyFont="1" applyFill="1" applyBorder="1" applyAlignment="1">
      <alignment horizontal="right" vertical="top" wrapText="1"/>
    </xf>
    <xf numFmtId="3" fontId="11" fillId="3" borderId="68" xfId="0" applyNumberFormat="1" applyFont="1" applyFill="1" applyBorder="1" applyAlignment="1">
      <alignment wrapText="1"/>
    </xf>
    <xf numFmtId="3" fontId="14" fillId="0" borderId="68" xfId="0" applyNumberFormat="1" applyFont="1" applyFill="1" applyBorder="1" applyAlignment="1">
      <alignment horizontal="right" vertical="center" wrapText="1"/>
    </xf>
    <xf numFmtId="3" fontId="14" fillId="0" borderId="68" xfId="0" applyNumberFormat="1" applyFont="1" applyBorder="1" applyAlignment="1">
      <alignment horizontal="right" vertical="top" wrapText="1"/>
    </xf>
    <xf numFmtId="3" fontId="10" fillId="0" borderId="68" xfId="0" applyNumberFormat="1" applyFont="1" applyBorder="1" applyAlignment="1">
      <alignment horizontal="right" wrapText="1"/>
    </xf>
    <xf numFmtId="3" fontId="14" fillId="3" borderId="68" xfId="0" applyNumberFormat="1" applyFont="1" applyFill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top" wrapText="1"/>
    </xf>
    <xf numFmtId="3" fontId="9" fillId="0" borderId="68" xfId="0" applyNumberFormat="1" applyFont="1" applyFill="1" applyBorder="1" applyAlignment="1">
      <alignment horizontal="right" vertical="top" wrapText="1"/>
    </xf>
    <xf numFmtId="3" fontId="9" fillId="0" borderId="68" xfId="0" applyNumberFormat="1" applyFont="1" applyBorder="1" applyAlignment="1">
      <alignment horizontal="right" vertical="top" wrapText="1"/>
    </xf>
    <xf numFmtId="3" fontId="14" fillId="0" borderId="68" xfId="0" applyNumberFormat="1" applyFont="1" applyBorder="1" applyAlignment="1">
      <alignment horizontal="right" vertical="center" wrapText="1"/>
    </xf>
    <xf numFmtId="3" fontId="14" fillId="0" borderId="71" xfId="0" applyNumberFormat="1" applyFont="1" applyBorder="1" applyAlignment="1">
      <alignment horizontal="right" vertical="center" wrapText="1"/>
    </xf>
    <xf numFmtId="3" fontId="8" fillId="2" borderId="79" xfId="0" applyNumberFormat="1" applyFont="1" applyFill="1" applyBorder="1" applyAlignment="1">
      <alignment horizontal="center" vertical="center" wrapText="1"/>
    </xf>
    <xf numFmtId="3" fontId="10" fillId="0" borderId="84" xfId="0" applyNumberFormat="1" applyFont="1" applyBorder="1" applyAlignment="1">
      <alignment horizontal="right" vertical="top" wrapText="1"/>
    </xf>
    <xf numFmtId="0" fontId="9" fillId="2" borderId="34" xfId="0" applyFont="1" applyFill="1" applyBorder="1" applyAlignment="1">
      <alignment horizontal="center" vertical="top" wrapText="1"/>
    </xf>
    <xf numFmtId="3" fontId="9" fillId="0" borderId="68" xfId="0" applyNumberFormat="1" applyFont="1" applyBorder="1" applyAlignment="1">
      <alignment/>
    </xf>
    <xf numFmtId="3" fontId="14" fillId="0" borderId="94" xfId="0" applyNumberFormat="1" applyFont="1" applyBorder="1" applyAlignment="1">
      <alignment horizontal="right" vertical="top" wrapText="1"/>
    </xf>
    <xf numFmtId="3" fontId="10" fillId="0" borderId="95" xfId="0" applyNumberFormat="1" applyFont="1" applyBorder="1" applyAlignment="1">
      <alignment horizontal="right" vertical="top" wrapText="1"/>
    </xf>
    <xf numFmtId="3" fontId="10" fillId="0" borderId="84" xfId="0" applyNumberFormat="1" applyFont="1" applyFill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4" fillId="0" borderId="96" xfId="0" applyNumberFormat="1" applyFont="1" applyBorder="1" applyAlignment="1">
      <alignment horizontal="right" wrapText="1"/>
    </xf>
    <xf numFmtId="3" fontId="14" fillId="0" borderId="16" xfId="0" applyNumberFormat="1" applyFont="1" applyBorder="1" applyAlignment="1">
      <alignment horizontal="right" vertical="top" wrapText="1"/>
    </xf>
    <xf numFmtId="0" fontId="9" fillId="6" borderId="34" xfId="0" applyFont="1" applyFill="1" applyBorder="1" applyAlignment="1">
      <alignment horizontal="center" vertical="top" wrapText="1"/>
    </xf>
    <xf numFmtId="3" fontId="10" fillId="0" borderId="84" xfId="0" applyNumberFormat="1" applyFont="1" applyFill="1" applyBorder="1" applyAlignment="1">
      <alignment horizontal="right" vertical="top" wrapText="1"/>
    </xf>
    <xf numFmtId="3" fontId="10" fillId="0" borderId="95" xfId="0" applyNumberFormat="1" applyFont="1" applyFill="1" applyBorder="1" applyAlignment="1">
      <alignment horizontal="right" vertical="top" wrapText="1"/>
    </xf>
    <xf numFmtId="3" fontId="14" fillId="0" borderId="93" xfId="0" applyNumberFormat="1" applyFont="1" applyFill="1" applyBorder="1" applyAlignment="1">
      <alignment horizontal="right" vertical="top" wrapText="1"/>
    </xf>
    <xf numFmtId="3" fontId="14" fillId="0" borderId="93" xfId="0" applyNumberFormat="1" applyFont="1" applyBorder="1" applyAlignment="1">
      <alignment horizontal="right" wrapText="1"/>
    </xf>
    <xf numFmtId="3" fontId="14" fillId="8" borderId="93" xfId="0" applyNumberFormat="1" applyFont="1" applyFill="1" applyBorder="1" applyAlignment="1">
      <alignment horizontal="right" wrapText="1"/>
    </xf>
    <xf numFmtId="3" fontId="10" fillId="8" borderId="84" xfId="0" applyNumberFormat="1" applyFont="1" applyFill="1" applyBorder="1" applyAlignment="1">
      <alignment horizontal="right" vertical="top" wrapText="1"/>
    </xf>
    <xf numFmtId="3" fontId="9" fillId="8" borderId="84" xfId="0" applyNumberFormat="1" applyFont="1" applyFill="1" applyBorder="1" applyAlignment="1">
      <alignment horizontal="right"/>
    </xf>
    <xf numFmtId="3" fontId="11" fillId="8" borderId="93" xfId="0" applyNumberFormat="1" applyFont="1" applyFill="1" applyBorder="1" applyAlignment="1">
      <alignment horizontal="right"/>
    </xf>
    <xf numFmtId="3" fontId="9" fillId="0" borderId="84" xfId="0" applyNumberFormat="1" applyFont="1" applyBorder="1" applyAlignment="1">
      <alignment horizontal="right"/>
    </xf>
    <xf numFmtId="3" fontId="11" fillId="0" borderId="93" xfId="0" applyNumberFormat="1" applyFont="1" applyBorder="1" applyAlignment="1">
      <alignment horizontal="right"/>
    </xf>
    <xf numFmtId="3" fontId="9" fillId="3" borderId="84" xfId="0" applyNumberFormat="1" applyFont="1" applyFill="1" applyBorder="1" applyAlignment="1">
      <alignment horizontal="right"/>
    </xf>
    <xf numFmtId="3" fontId="11" fillId="3" borderId="93" xfId="0" applyNumberFormat="1" applyFont="1" applyFill="1" applyBorder="1" applyAlignment="1">
      <alignment horizontal="right"/>
    </xf>
    <xf numFmtId="3" fontId="9" fillId="3" borderId="95" xfId="0" applyNumberFormat="1" applyFont="1" applyFill="1" applyBorder="1" applyAlignment="1">
      <alignment horizontal="right"/>
    </xf>
    <xf numFmtId="3" fontId="10" fillId="0" borderId="84" xfId="0" applyNumberFormat="1" applyFont="1" applyBorder="1" applyAlignment="1">
      <alignment vertical="top" wrapText="1"/>
    </xf>
    <xf numFmtId="3" fontId="11" fillId="3" borderId="84" xfId="0" applyNumberFormat="1" applyFont="1" applyFill="1" applyBorder="1" applyAlignment="1">
      <alignment horizontal="right"/>
    </xf>
    <xf numFmtId="0" fontId="13" fillId="3" borderId="12" xfId="0" applyFont="1" applyFill="1" applyBorder="1" applyAlignment="1">
      <alignment/>
    </xf>
    <xf numFmtId="3" fontId="11" fillId="3" borderId="53" xfId="0" applyNumberFormat="1" applyFont="1" applyFill="1" applyBorder="1" applyAlignment="1">
      <alignment horizontal="right"/>
    </xf>
    <xf numFmtId="0" fontId="13" fillId="3" borderId="53" xfId="0" applyFont="1" applyFill="1" applyBorder="1" applyAlignment="1">
      <alignment/>
    </xf>
    <xf numFmtId="3" fontId="10" fillId="3" borderId="84" xfId="0" applyNumberFormat="1" applyFont="1" applyFill="1" applyBorder="1" applyAlignment="1">
      <alignment horizontal="right" wrapText="1"/>
    </xf>
    <xf numFmtId="3" fontId="14" fillId="3" borderId="93" xfId="0" applyNumberFormat="1" applyFont="1" applyFill="1" applyBorder="1" applyAlignment="1">
      <alignment horizontal="right" wrapText="1"/>
    </xf>
    <xf numFmtId="3" fontId="14" fillId="3" borderId="93" xfId="0" applyNumberFormat="1" applyFont="1" applyFill="1" applyBorder="1" applyAlignment="1">
      <alignment horizontal="right" vertical="center" wrapText="1"/>
    </xf>
    <xf numFmtId="3" fontId="10" fillId="0" borderId="78" xfId="0" applyNumberFormat="1" applyFont="1" applyBorder="1" applyAlignment="1">
      <alignment vertical="top" wrapText="1"/>
    </xf>
    <xf numFmtId="3" fontId="9" fillId="0" borderId="68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0" fontId="11" fillId="7" borderId="16" xfId="0" applyFont="1" applyFill="1" applyBorder="1" applyAlignment="1">
      <alignment horizontal="center" vertical="top" wrapText="1"/>
    </xf>
    <xf numFmtId="3" fontId="10" fillId="3" borderId="95" xfId="0" applyNumberFormat="1" applyFont="1" applyFill="1" applyBorder="1" applyAlignment="1">
      <alignment horizontal="right" wrapText="1"/>
    </xf>
    <xf numFmtId="3" fontId="14" fillId="0" borderId="84" xfId="0" applyNumberFormat="1" applyFont="1" applyFill="1" applyBorder="1" applyAlignment="1">
      <alignment horizontal="right" vertical="center" wrapText="1"/>
    </xf>
    <xf numFmtId="3" fontId="14" fillId="0" borderId="84" xfId="0" applyNumberFormat="1" applyFont="1" applyFill="1" applyBorder="1" applyAlignment="1">
      <alignment horizontal="right" vertical="top" wrapText="1"/>
    </xf>
    <xf numFmtId="3" fontId="10" fillId="0" borderId="84" xfId="0" applyNumberFormat="1" applyFont="1" applyFill="1" applyBorder="1" applyAlignment="1">
      <alignment horizontal="right" wrapText="1"/>
    </xf>
    <xf numFmtId="3" fontId="11" fillId="0" borderId="84" xfId="0" applyNumberFormat="1" applyFont="1" applyFill="1" applyBorder="1" applyAlignment="1">
      <alignment horizontal="right" vertical="top" wrapText="1"/>
    </xf>
    <xf numFmtId="3" fontId="9" fillId="0" borderId="84" xfId="0" applyNumberFormat="1" applyFont="1" applyFill="1" applyBorder="1" applyAlignment="1">
      <alignment horizontal="right" wrapText="1"/>
    </xf>
    <xf numFmtId="3" fontId="9" fillId="0" borderId="84" xfId="0" applyNumberFormat="1" applyFont="1" applyFill="1" applyBorder="1" applyAlignment="1">
      <alignment horizontal="right" vertical="top" wrapText="1"/>
    </xf>
    <xf numFmtId="3" fontId="14" fillId="0" borderId="84" xfId="0" applyNumberFormat="1" applyFont="1" applyFill="1" applyBorder="1" applyAlignment="1">
      <alignment horizontal="right" wrapText="1"/>
    </xf>
    <xf numFmtId="3" fontId="14" fillId="0" borderId="93" xfId="0" applyNumberFormat="1" applyFont="1" applyFill="1" applyBorder="1" applyAlignment="1">
      <alignment horizontal="right" vertical="center" wrapText="1"/>
    </xf>
    <xf numFmtId="3" fontId="10" fillId="0" borderId="78" xfId="0" applyNumberFormat="1" applyFont="1" applyFill="1" applyBorder="1" applyAlignment="1">
      <alignment horizontal="right" vertical="top" wrapText="1"/>
    </xf>
    <xf numFmtId="3" fontId="9" fillId="3" borderId="78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3" fontId="9" fillId="0" borderId="84" xfId="0" applyNumberFormat="1" applyFont="1" applyFill="1" applyBorder="1" applyAlignment="1">
      <alignment horizontal="right"/>
    </xf>
    <xf numFmtId="3" fontId="14" fillId="0" borderId="93" xfId="0" applyNumberFormat="1" applyFont="1" applyFill="1" applyBorder="1" applyAlignment="1">
      <alignment horizontal="right" wrapText="1"/>
    </xf>
    <xf numFmtId="0" fontId="9" fillId="4" borderId="8" xfId="0" applyFont="1" applyFill="1" applyBorder="1" applyAlignment="1">
      <alignment horizontal="left"/>
    </xf>
    <xf numFmtId="3" fontId="14" fillId="0" borderId="93" xfId="0" applyNumberFormat="1" applyFont="1" applyFill="1" applyBorder="1" applyAlignment="1">
      <alignment horizontal="right" wrapText="1"/>
    </xf>
    <xf numFmtId="3" fontId="10" fillId="8" borderId="78" xfId="0" applyNumberFormat="1" applyFont="1" applyFill="1" applyBorder="1" applyAlignment="1">
      <alignment horizontal="right" vertical="top" wrapText="1"/>
    </xf>
    <xf numFmtId="3" fontId="10" fillId="0" borderId="84" xfId="0" applyNumberFormat="1" applyFont="1" applyFill="1" applyBorder="1" applyAlignment="1">
      <alignment horizontal="right" wrapText="1"/>
    </xf>
    <xf numFmtId="0" fontId="11" fillId="3" borderId="53" xfId="0" applyFont="1" applyFill="1" applyBorder="1" applyAlignment="1">
      <alignment/>
    </xf>
    <xf numFmtId="0" fontId="15" fillId="8" borderId="0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3" fontId="10" fillId="0" borderId="0" xfId="0" applyNumberFormat="1" applyFont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vertical="center" wrapText="1"/>
    </xf>
    <xf numFmtId="3" fontId="29" fillId="0" borderId="0" xfId="0" applyNumberFormat="1" applyFont="1" applyAlignment="1">
      <alignment horizontal="center" vertical="top" wrapText="1"/>
    </xf>
    <xf numFmtId="3" fontId="30" fillId="3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/>
    </xf>
    <xf numFmtId="3" fontId="23" fillId="0" borderId="0" xfId="0" applyNumberFormat="1" applyFont="1" applyBorder="1" applyAlignment="1">
      <alignment horizontal="right" vertical="top" wrapText="1"/>
    </xf>
    <xf numFmtId="3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3" fontId="23" fillId="0" borderId="97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28" fillId="3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0" fontId="16" fillId="3" borderId="0" xfId="0" applyFont="1" applyFill="1" applyBorder="1" applyAlignment="1">
      <alignment vertical="top" wrapText="1"/>
    </xf>
    <xf numFmtId="0" fontId="16" fillId="7" borderId="0" xfId="0" applyFont="1" applyFill="1" applyBorder="1" applyAlignment="1">
      <alignment horizontal="center" vertical="top" wrapText="1"/>
    </xf>
    <xf numFmtId="3" fontId="23" fillId="3" borderId="0" xfId="0" applyNumberFormat="1" applyFont="1" applyFill="1" applyBorder="1" applyAlignment="1">
      <alignment horizontal="right" wrapText="1"/>
    </xf>
    <xf numFmtId="0" fontId="28" fillId="3" borderId="0" xfId="0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horizontal="right" wrapText="1"/>
    </xf>
    <xf numFmtId="4" fontId="8" fillId="3" borderId="0" xfId="0" applyNumberFormat="1" applyFont="1" applyFill="1" applyBorder="1" applyAlignment="1">
      <alignment horizontal="right" wrapText="1"/>
    </xf>
    <xf numFmtId="0" fontId="31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/>
    </xf>
    <xf numFmtId="3" fontId="32" fillId="0" borderId="0" xfId="0" applyNumberFormat="1" applyFont="1" applyBorder="1" applyAlignment="1">
      <alignment horizontal="center" vertical="center" wrapText="1"/>
    </xf>
    <xf numFmtId="3" fontId="33" fillId="3" borderId="0" xfId="0" applyNumberFormat="1" applyFont="1" applyFill="1" applyBorder="1" applyAlignment="1">
      <alignment horizontal="center" vertical="center"/>
    </xf>
    <xf numFmtId="3" fontId="23" fillId="3" borderId="97" xfId="0" applyNumberFormat="1" applyFont="1" applyFill="1" applyBorder="1" applyAlignment="1">
      <alignment horizontal="right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wrapText="1"/>
    </xf>
    <xf numFmtId="0" fontId="31" fillId="3" borderId="0" xfId="0" applyFont="1" applyFill="1" applyBorder="1" applyAlignment="1">
      <alignment vertical="top"/>
    </xf>
    <xf numFmtId="3" fontId="1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quotePrefix="1">
      <alignment horizontal="right" wrapText="1"/>
    </xf>
    <xf numFmtId="4" fontId="8" fillId="3" borderId="0" xfId="0" applyNumberFormat="1" applyFont="1" applyFill="1" applyBorder="1" applyAlignment="1" quotePrefix="1">
      <alignment horizontal="right" wrapText="1"/>
    </xf>
    <xf numFmtId="0" fontId="34" fillId="3" borderId="0" xfId="0" applyFont="1" applyFill="1" applyBorder="1" applyAlignment="1">
      <alignment/>
    </xf>
    <xf numFmtId="0" fontId="34" fillId="3" borderId="0" xfId="0" applyFont="1" applyFill="1" applyBorder="1" applyAlignment="1">
      <alignment horizontal="left"/>
    </xf>
    <xf numFmtId="0" fontId="11" fillId="0" borderId="0" xfId="0" applyFont="1" applyAlignment="1" quotePrefix="1">
      <alignment horizontal="centerContinuous"/>
    </xf>
    <xf numFmtId="0" fontId="2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8" fillId="3" borderId="0" xfId="0" applyNumberFormat="1" applyFont="1" applyFill="1" applyBorder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 horizontal="right"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 wrapText="1"/>
    </xf>
    <xf numFmtId="3" fontId="11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wrapText="1"/>
    </xf>
    <xf numFmtId="0" fontId="36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 quotePrefix="1">
      <alignment/>
    </xf>
    <xf numFmtId="9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 quotePrefix="1">
      <alignment wrapText="1"/>
    </xf>
    <xf numFmtId="3" fontId="9" fillId="0" borderId="0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right"/>
    </xf>
    <xf numFmtId="0" fontId="11" fillId="0" borderId="0" xfId="0" applyFont="1" applyFill="1" applyBorder="1" applyAlignment="1" quotePrefix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0" fontId="9" fillId="0" borderId="0" xfId="0" applyFont="1" applyFill="1" applyBorder="1" applyAlignment="1" quotePrefix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 quotePrefix="1">
      <alignment horizontal="left" vertical="center" wrapText="1"/>
    </xf>
    <xf numFmtId="0" fontId="9" fillId="0" borderId="0" xfId="0" applyFont="1" applyBorder="1" applyAlignment="1" quotePrefix="1">
      <alignment horizontal="left" vertical="center" wrapText="1"/>
    </xf>
    <xf numFmtId="0" fontId="35" fillId="0" borderId="0" xfId="0" applyFont="1" applyAlignment="1">
      <alignment horizontal="center"/>
    </xf>
    <xf numFmtId="3" fontId="23" fillId="0" borderId="0" xfId="0" applyNumberFormat="1" applyFont="1" applyAlignment="1">
      <alignment horizontal="center" vertical="top" wrapText="1"/>
    </xf>
    <xf numFmtId="3" fontId="16" fillId="3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 vertical="top" wrapText="1"/>
    </xf>
    <xf numFmtId="3" fontId="9" fillId="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/>
    </xf>
    <xf numFmtId="4" fontId="11" fillId="3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4" fontId="9" fillId="3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top" wrapText="1"/>
    </xf>
    <xf numFmtId="3" fontId="10" fillId="3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vertical="top" wrapText="1"/>
    </xf>
    <xf numFmtId="4" fontId="38" fillId="3" borderId="0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>
      <alignment horizontal="center" vertical="center" wrapText="1"/>
    </xf>
    <xf numFmtId="3" fontId="31" fillId="3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35" fillId="3" borderId="0" xfId="0" applyFont="1" applyFill="1" applyBorder="1" applyAlignment="1">
      <alignment vertical="top"/>
    </xf>
    <xf numFmtId="3" fontId="8" fillId="3" borderId="97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top" wrapText="1"/>
    </xf>
    <xf numFmtId="0" fontId="11" fillId="7" borderId="0" xfId="0" applyFont="1" applyFill="1" applyBorder="1" applyAlignment="1">
      <alignment horizontal="center" vertical="top" wrapText="1"/>
    </xf>
    <xf numFmtId="3" fontId="8" fillId="3" borderId="0" xfId="0" applyNumberFormat="1" applyFont="1" applyFill="1" applyBorder="1" applyAlignment="1">
      <alignment horizontal="center" wrapText="1"/>
    </xf>
    <xf numFmtId="174" fontId="10" fillId="0" borderId="84" xfId="0" applyNumberFormat="1" applyFont="1" applyBorder="1" applyAlignment="1">
      <alignment horizontal="right" vertical="top" wrapText="1"/>
    </xf>
    <xf numFmtId="174" fontId="10" fillId="0" borderId="68" xfId="0" applyNumberFormat="1" applyFont="1" applyBorder="1" applyAlignment="1">
      <alignment horizontal="right" vertical="top" wrapText="1"/>
    </xf>
    <xf numFmtId="174" fontId="14" fillId="0" borderId="84" xfId="0" applyNumberFormat="1" applyFont="1" applyBorder="1" applyAlignment="1">
      <alignment horizontal="right" vertical="top" wrapText="1"/>
    </xf>
    <xf numFmtId="174" fontId="10" fillId="0" borderId="84" xfId="0" applyNumberFormat="1" applyFont="1" applyBorder="1" applyAlignment="1">
      <alignment horizontal="right" wrapText="1"/>
    </xf>
    <xf numFmtId="174" fontId="10" fillId="0" borderId="68" xfId="0" applyNumberFormat="1" applyFont="1" applyBorder="1" applyAlignment="1">
      <alignment horizontal="right" wrapText="1"/>
    </xf>
    <xf numFmtId="174" fontId="24" fillId="0" borderId="83" xfId="0" applyNumberFormat="1" applyFont="1" applyBorder="1" applyAlignment="1">
      <alignment/>
    </xf>
    <xf numFmtId="174" fontId="24" fillId="0" borderId="1" xfId="0" applyNumberFormat="1" applyFont="1" applyBorder="1" applyAlignment="1">
      <alignment/>
    </xf>
    <xf numFmtId="174" fontId="24" fillId="0" borderId="84" xfId="0" applyNumberFormat="1" applyFont="1" applyBorder="1" applyAlignment="1">
      <alignment/>
    </xf>
    <xf numFmtId="174" fontId="24" fillId="0" borderId="86" xfId="0" applyNumberFormat="1" applyFont="1" applyBorder="1" applyAlignment="1">
      <alignment/>
    </xf>
    <xf numFmtId="3" fontId="10" fillId="3" borderId="0" xfId="0" applyNumberFormat="1" applyFont="1" applyFill="1" applyBorder="1" applyAlignment="1">
      <alignment horizontal="right" wrapText="1"/>
    </xf>
    <xf numFmtId="3" fontId="10" fillId="0" borderId="78" xfId="0" applyNumberFormat="1" applyFont="1" applyFill="1" applyBorder="1" applyAlignment="1">
      <alignment horizontal="right" wrapText="1"/>
    </xf>
    <xf numFmtId="3" fontId="6" fillId="0" borderId="34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0" fontId="11" fillId="8" borderId="5" xfId="0" applyFont="1" applyFill="1" applyBorder="1" applyAlignment="1">
      <alignment vertical="top" wrapText="1"/>
    </xf>
    <xf numFmtId="0" fontId="9" fillId="8" borderId="5" xfId="0" applyFont="1" applyFill="1" applyBorder="1" applyAlignment="1">
      <alignment horizontal="center" vertical="top" wrapText="1"/>
    </xf>
    <xf numFmtId="3" fontId="10" fillId="8" borderId="5" xfId="0" applyNumberFormat="1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/>
    </xf>
    <xf numFmtId="0" fontId="9" fillId="8" borderId="0" xfId="0" applyFont="1" applyFill="1" applyAlignment="1">
      <alignment horizontal="center" vertical="top" wrapText="1"/>
    </xf>
    <xf numFmtId="3" fontId="10" fillId="8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wrapText="1"/>
    </xf>
    <xf numFmtId="0" fontId="10" fillId="8" borderId="0" xfId="0" applyFont="1" applyFill="1" applyBorder="1" applyAlignment="1">
      <alignment vertical="center"/>
    </xf>
    <xf numFmtId="3" fontId="10" fillId="0" borderId="0" xfId="0" applyNumberFormat="1" applyFont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/>
    </xf>
    <xf numFmtId="174" fontId="10" fillId="0" borderId="79" xfId="0" applyNumberFormat="1" applyFont="1" applyBorder="1" applyAlignment="1">
      <alignment horizontal="right"/>
    </xf>
    <xf numFmtId="174" fontId="10" fillId="0" borderId="17" xfId="0" applyNumberFormat="1" applyFont="1" applyBorder="1" applyAlignment="1">
      <alignment horizontal="right"/>
    </xf>
    <xf numFmtId="174" fontId="10" fillId="0" borderId="79" xfId="0" applyNumberFormat="1" applyFont="1" applyBorder="1" applyAlignment="1">
      <alignment horizontal="right" vertical="top" wrapText="1"/>
    </xf>
    <xf numFmtId="174" fontId="10" fillId="0" borderId="17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9" fillId="3" borderId="3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1689</xdr:row>
      <xdr:rowOff>0</xdr:rowOff>
    </xdr:from>
    <xdr:to>
      <xdr:col>0</xdr:col>
      <xdr:colOff>2695575</xdr:colOff>
      <xdr:row>1689</xdr:row>
      <xdr:rowOff>0</xdr:rowOff>
    </xdr:to>
    <xdr:sp>
      <xdr:nvSpPr>
        <xdr:cNvPr id="1" name="Tekst 12"/>
        <xdr:cNvSpPr txBox="1">
          <a:spLocks noChangeArrowheads="1"/>
        </xdr:cNvSpPr>
      </xdr:nvSpPr>
      <xdr:spPr>
        <a:xfrm>
          <a:off x="495300" y="297246675"/>
          <a:ext cx="220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Podpisy wszystkich Członków Zarządu
data......................         ..........................
data......................         ..........................
data......................         ..........................
data......................         ..........................
data......................         ..........................
</a:t>
          </a:r>
        </a:p>
      </xdr:txBody>
    </xdr:sp>
    <xdr:clientData/>
  </xdr:twoCellAnchor>
  <xdr:twoCellAnchor>
    <xdr:from>
      <xdr:col>0</xdr:col>
      <xdr:colOff>3629025</xdr:colOff>
      <xdr:row>1689</xdr:row>
      <xdr:rowOff>0</xdr:rowOff>
    </xdr:from>
    <xdr:to>
      <xdr:col>3</xdr:col>
      <xdr:colOff>333375</xdr:colOff>
      <xdr:row>1689</xdr:row>
      <xdr:rowOff>0</xdr:rowOff>
    </xdr:to>
    <xdr:sp>
      <xdr:nvSpPr>
        <xdr:cNvPr id="2" name="Tekst 13"/>
        <xdr:cNvSpPr txBox="1">
          <a:spLocks noChangeArrowheads="1"/>
        </xdr:cNvSpPr>
      </xdr:nvSpPr>
      <xdr:spPr>
        <a:xfrm>
          <a:off x="3629025" y="297246675"/>
          <a:ext cx="2219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Podpis osoby, której powierzono prowadzenie ksiąg rachunkowych
data........................        .........................
</a:t>
          </a:r>
        </a:p>
      </xdr:txBody>
    </xdr:sp>
    <xdr:clientData/>
  </xdr:twoCellAnchor>
  <xdr:twoCellAnchor>
    <xdr:from>
      <xdr:col>0</xdr:col>
      <xdr:colOff>28575</xdr:colOff>
      <xdr:row>803</xdr:row>
      <xdr:rowOff>0</xdr:rowOff>
    </xdr:from>
    <xdr:to>
      <xdr:col>4</xdr:col>
      <xdr:colOff>0</xdr:colOff>
      <xdr:row>803</xdr:row>
      <xdr:rowOff>0</xdr:rowOff>
    </xdr:to>
    <xdr:sp>
      <xdr:nvSpPr>
        <xdr:cNvPr id="3" name="Tekst 17"/>
        <xdr:cNvSpPr txBox="1">
          <a:spLocks noChangeArrowheads="1"/>
        </xdr:cNvSpPr>
      </xdr:nvSpPr>
      <xdr:spPr>
        <a:xfrm>
          <a:off x="28575" y="140541375"/>
          <a:ext cx="6343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podać wysokość i wyjaśnić przyczyny nieplanowych odpisów amortyzacyjnych (umorzeniowych).</a:t>
          </a:r>
        </a:p>
      </xdr:txBody>
    </xdr:sp>
    <xdr:clientData/>
  </xdr:twoCellAnchor>
  <xdr:twoCellAnchor>
    <xdr:from>
      <xdr:col>0</xdr:col>
      <xdr:colOff>19050</xdr:colOff>
      <xdr:row>843</xdr:row>
      <xdr:rowOff>85725</xdr:rowOff>
    </xdr:from>
    <xdr:to>
      <xdr:col>3</xdr:col>
      <xdr:colOff>847725</xdr:colOff>
      <xdr:row>844</xdr:row>
      <xdr:rowOff>247650</xdr:rowOff>
    </xdr:to>
    <xdr:sp>
      <xdr:nvSpPr>
        <xdr:cNvPr id="4" name="Tekst 18"/>
        <xdr:cNvSpPr txBox="1">
          <a:spLocks noChangeArrowheads="1"/>
        </xdr:cNvSpPr>
      </xdr:nvSpPr>
      <xdr:spPr>
        <a:xfrm>
          <a:off x="19050" y="147437475"/>
          <a:ext cx="6343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Nieplanowane odpisy amortyzacyjne na 31 grudnia 1999 roku w wysokości 121 tysięcy złotych wynikają ze sprzedaży lub likwidacji środków trwałych nie w pełni umorzonych.</a:t>
          </a:r>
        </a:p>
      </xdr:txBody>
    </xdr:sp>
    <xdr:clientData/>
  </xdr:twoCellAnchor>
  <xdr:twoCellAnchor>
    <xdr:from>
      <xdr:col>0</xdr:col>
      <xdr:colOff>28575</xdr:colOff>
      <xdr:row>1678</xdr:row>
      <xdr:rowOff>228600</xdr:rowOff>
    </xdr:from>
    <xdr:to>
      <xdr:col>3</xdr:col>
      <xdr:colOff>838200</xdr:colOff>
      <xdr:row>1717</xdr:row>
      <xdr:rowOff>142875</xdr:rowOff>
    </xdr:to>
    <xdr:sp>
      <xdr:nvSpPr>
        <xdr:cNvPr id="5" name="Tekst 25"/>
        <xdr:cNvSpPr txBox="1">
          <a:spLocks noChangeArrowheads="1"/>
        </xdr:cNvSpPr>
      </xdr:nvSpPr>
      <xdr:spPr>
        <a:xfrm>
          <a:off x="28575" y="295475025"/>
          <a:ext cx="6324600" cy="64484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Podział działalności Banku na działalność operacyjną, inwestycyjną i finansową przedstawiono poniżej:
 - do działalności finansowej zalicza się wpływy i wydatki z tytułu instrumentów służących finansowaniu działalności Banku oraz z innych tytułów, zgodnie z wyszczególnieniem przedstawionym w rachunku przepływów środków pieniężnych;
 - do działalności inwestycyjnej zalicza się wpływy i wydatki związane z inwestycjami w wartości niematerialne i prawne oraz składnikami rzeczowego majątku trwałego. Ponadto zalicza się tu przepływy pieniężne związane z inwestycjami Banku w papiery wartościowe o charakterze lokacyjnym;
 - do działalności operacyjnej zalicza się wszystkie pozostałe elementy rachunku przepływów środków                                               pieniężnych.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1" i="0" u="sng" baseline="0">
              <a:latin typeface="Times New Roman CE"/>
              <a:ea typeface="Times New Roman CE"/>
              <a:cs typeface="Times New Roman CE"/>
            </a:rPr>
            <a:t>3. Wyjaśnienie różnic pomiędzy bilansowymi zmianami stanu pozycji a zmianami stanu tych pozycji wykazanymi w rachunku przepływu środków pieniężnych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„Zmiana stanu dłużnych papierów wartościowych”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– pozycja ta w  bilansie Banku obejmuje cały portfel dłużnych papierów wartościowych, zarówno lokacyjne, jak i handlowe, natomiast w omawianej pozycji w rachunku przepływu środków pieniężnych za okresy 12 miesięcy kończących się 31grudnia 1998 i 1999 roku wykazano zmianę stanu dłużnych papierów wartościowych handlowych według ceny nabycia.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„Zmiana stanu należności od sektora finansowego”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 – z omawianej pozycji w rachunku przepływu środków pieniężnych za okresy 12 miesięcy kończących się 31grudnia 1998 i 1999 wyłączono rachunki bieżące nostro w innych bankach, stanowiące ekwiwalenty gotówki i zaliczane do środków pieniężnych.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„Zmiana stanu akcji, udziałów i innych papierów wartościowych o zmiennej kwocie dochodu”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– w okresie 12 miesięcy kończących się 31 grudnia 1999 roku z omawianej pozycji w rachunku przepływu środków pieniężnych przeniesiono nabycie udziałów w jednostce zależnej DM BOŚ oraz jednostce stowarzyszonej PTE Epoka do grupy B odpowiednio do pozycji „Nabycie akcji i udziałów w jednostkach zależnych” i „Nabycie akcji i udziałów w jednostkach stowarzyszonych” oraz rozwiązanie rezerw na portfel lokacyjny akcji notowanych na GPW do „Pozostałych pozycji”.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„Zmiana stanu rozliczeń międzyokresowych”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– w rachunku przepływu środków pieniężnych w omawianej pozycji wykazano zmianę netto stanu czynnych i biernych rozliczeń międzyokresowych .
Ponadto, w grupie B  oraz w grupie C  wykazano zrealizowane kasowo w danym roku obrotowym wpływy i wydatki dotyczące danego rodzaju działalności, natomiast zwiększenia i zmniejszenia niekasowe wykazano jako korekty grupy  A
</a:t>
          </a: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
 </a:t>
          </a:r>
        </a:p>
      </xdr:txBody>
    </xdr:sp>
    <xdr:clientData/>
  </xdr:twoCellAnchor>
  <xdr:twoCellAnchor>
    <xdr:from>
      <xdr:col>0</xdr:col>
      <xdr:colOff>28575</xdr:colOff>
      <xdr:row>650</xdr:row>
      <xdr:rowOff>0</xdr:rowOff>
    </xdr:from>
    <xdr:to>
      <xdr:col>4</xdr:col>
      <xdr:colOff>0</xdr:colOff>
      <xdr:row>650</xdr:row>
      <xdr:rowOff>0</xdr:rowOff>
    </xdr:to>
    <xdr:sp>
      <xdr:nvSpPr>
        <xdr:cNvPr id="6" name="Tekst 62"/>
        <xdr:cNvSpPr txBox="1">
          <a:spLocks noChangeArrowheads="1"/>
        </xdr:cNvSpPr>
      </xdr:nvSpPr>
      <xdr:spPr>
        <a:xfrm>
          <a:off x="28575" y="114614325"/>
          <a:ext cx="6343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Akcje i udziały zapewniające mniej niż 5% kapitału i ogólnej liczby głosów na walnym zgromadzeniu jednostki można wykazać łącznie w pozycji "inne", chyba, że są one istotne ze względu na wartość (rynkową) lub politykę jednostki.</a:t>
          </a:r>
        </a:p>
      </xdr:txBody>
    </xdr:sp>
    <xdr:clientData/>
  </xdr:twoCellAnchor>
  <xdr:oneCellAnchor>
    <xdr:from>
      <xdr:col>0</xdr:col>
      <xdr:colOff>57150</xdr:colOff>
      <xdr:row>1619</xdr:row>
      <xdr:rowOff>114300</xdr:rowOff>
    </xdr:from>
    <xdr:ext cx="6257925" cy="647700"/>
    <xdr:sp>
      <xdr:nvSpPr>
        <xdr:cNvPr id="7" name="TextBox 89"/>
        <xdr:cNvSpPr txBox="1">
          <a:spLocks noChangeArrowheads="1"/>
        </xdr:cNvSpPr>
      </xdr:nvSpPr>
      <xdr:spPr>
        <a:xfrm>
          <a:off x="57150" y="285188025"/>
          <a:ext cx="6257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Zysk netto na jedną akcję został obliczony jako stosunek zysku netto za okres ostatnich 12 miesięcy przed dniem bilansowym do średniej ważonej liczby zwykłych akcji pozostających w posiadaniu akcjonariuszy w danym okresie. Wagę stanowi długość okresu ustalonego jako część roku obrotowego , w którym akcje danej emisji były uprawnione do dywidendy.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0</xdr:col>
      <xdr:colOff>95250</xdr:colOff>
      <xdr:row>1631</xdr:row>
      <xdr:rowOff>133350</xdr:rowOff>
    </xdr:from>
    <xdr:ext cx="6210300" cy="714375"/>
    <xdr:sp>
      <xdr:nvSpPr>
        <xdr:cNvPr id="8" name="TextBox 90"/>
        <xdr:cNvSpPr txBox="1">
          <a:spLocks noChangeArrowheads="1"/>
        </xdr:cNvSpPr>
      </xdr:nvSpPr>
      <xdr:spPr>
        <a:xfrm>
          <a:off x="95250" y="287197800"/>
          <a:ext cx="6210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Zysk netto na jedną akcję został obliczony jako stosunek zysku netto za okres ostatnich 12 miesięcy przed dniem bilansowym do średniej ważonej przewidywanej liczby zwykłych akcji pozostających w posiadaniu akcjonariuszy w danym okresie. Wagę stanowi długość okresu ustalonego jako część roku obrotowego , w którym akcje danej emisji były uprawnione do dywidendy.</a:t>
          </a:r>
        </a:p>
      </xdr:txBody>
    </xdr:sp>
    <xdr:clientData/>
  </xdr:oneCellAnchor>
  <xdr:oneCellAnchor>
    <xdr:from>
      <xdr:col>0</xdr:col>
      <xdr:colOff>9525</xdr:colOff>
      <xdr:row>1158</xdr:row>
      <xdr:rowOff>57150</xdr:rowOff>
    </xdr:from>
    <xdr:ext cx="6172200" cy="24393525"/>
    <xdr:sp>
      <xdr:nvSpPr>
        <xdr:cNvPr id="9" name="TextBox 91"/>
        <xdr:cNvSpPr txBox="1">
          <a:spLocks noChangeArrowheads="1"/>
        </xdr:cNvSpPr>
      </xdr:nvSpPr>
      <xdr:spPr>
        <a:xfrm>
          <a:off x="9525" y="204358875"/>
          <a:ext cx="6172200" cy="2439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W roku  1999  nie było zmian w kapitale akcyjnym Banku.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1. Akcjonariusze posiadający bezpośrednio lub pośrednio przez jednostki zależne co najmniej 5% kapitału akcyjnego emitenta lub co najmniej 5% ogólnej liczby głosów na walnym zgromadzeniu akcjonariuszy.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Na dzień 31 grudnia 1999 roku, zgodnie z posiadanymi przez Bank informacjami, ustalono następujących  Akcjonariuszy posiadających co najmniej  5% ogólnej liczby głosów na walnym zgromadzeniu .
Akcjonariusz                                                                                                     % udział w głosach
                                                                                                                             na  31.12.1999 r.
Narodowy Fundusz Ochrony Środowiska i Gospodarki Wodnej                                 44,36
KREDYT BANK S.A.                                                                                                  19,15
ROLMEX S.A.                                                                                                               7,71
Dyrektor Generalny Lasów Państwowych reprezent. Skarb Państwa                           6,98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2. Informacje o emisji akcji BOŚ SA serii N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Zgodnie z Uchwałą Nr 11 Nadzwyczajnego Walnego Zgromadzenia Akcjonariuszy Banku z dnia 25 stycznia 1999 roku, podjętą w dniu 1 lutego 1999 roku, Bank przeprowadził Publiczną Subskrybcję 2.750.000 Akcji zwykłych na okaziciela oznaczonych serią N, po cenie emisyjnej równej  49,55 zł za jedną akcję.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Otwarcie Publicznej Subskrypcji akcji BOŚ SA serii N nastąpiło w dniu 14.06.1999 r., a jej zamknięcie w dniu 21.06.1999 r. w wyniku subskrybowania w I Terminie Publicznej Subskrypcji wszystkich oferowanych akcji. 
Zarząd Banku, Uchwałą Nr 23/99 z dnia 21.06.1999 r., dokonał przydziału subskrybowanych akcji BOŚ SA serii N. Przydział akcji został zaakceptowany przez Radę Banku.
W związku z nadsubskrypcją, dokonano przydziału akcji zwykłych na okaziciela Banku Ochrony Środowiska SA serii N zgodnie z  zasadami opisanymi w Prospekcie Emisyjnym, z zastosowaniem proporcjonalnej redukcji zapisów  wobec podmiotów innych niż  Narodowy Fundusz Ochrony Środowiska i Gospodarki Wodnej, według stopy redukcji równej 33,7038%. W I Terminie Publicznej Subskrypcji złożono prawidłowe zapisy na łączną liczbę 3.169.414 akcji.
Wartość przeprowadzonej subskrypcji akcji serii N wynosi 136.262.500,00 złotych.
W dniu 30 czerwca 1999 roku Walne Zgromadzenie Akcjonariuszy BOŚ SA podjęło Uchwałę Nr 14/99 w sprawie zmiany w Statucie Banku polegającej na podwyższeniu kapitału akcyjnego Banku do kwoty 159.500.000 złotych. 
W związku z toczącymi się postępowaniami sądowymi w sprawie emisji akcji BOŚ SA serii N podwyższenie kapitału akcyjnego Banku dotychczas nie zostało zarejestrowane.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a) Zezwolenie na nabycie przez Kredyt Bank S.A. akcji BOŚ SA uprawniających do wykonywania ponad 10% głosów, nie więcej niż 20% głosów na WZA BOŚ SA.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W dniu 19 maja 1999 roku Komisja Nodzoru Bankowego (KNB) podjęła Uchwałę Nr 84/KNB/99 zezwalającą na nabycie przez Kredyt Bank PBI S.A. akcji dających ponad 10% głosów, nie więcej niż 20% głosów na WZA BOŚ SA.
W dniu 4 czerwca 1999 roku Bank złożył wniosek do KNB o ponowne rozpatrzenie sprawy. W odpowiedzi na ten wniosek w dniu 20 lipca 1999 roku BOŚ SA otrzymał z Komisji Nadzoru Bankowego Uchwałę Nr 140/KNB/99 z dnia 14 lipca 1999 roku w sprawie umorzenia postępowania odwoławczego. 
W wyniku otrzymanej uchwały Komisji Nadzoru Bankowego, Bank wykorzystując przewidzianą prawem procedurę odwoławczą, w dniu 3 sierpnia 1999 roku złożył w Naczelnym Sądzie Administracyjnym w Warszawie skargę na decyzję KNB zawartą w uchwale Nr 140/KNB/99 z dnia 14 lipca 1999 roku.
Na dzień sporządzenia sprawozdania finansowego skarga nie została rozpatrzona.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b) Sprawy sporne z Kredyt Bank PBI S.A. związane z zaskarżeniem Uchwał NWZA i WZA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W dniu 1 marca 1999 roku Kredyt Bank PBI S.A. złożył pozew dotyczący unieważnienia Uchwał podjętych na NWZA Banku w dniu 1 lutego 1999 roku, w tym Uchwały dotyczącej podniesienia kapitału akcyjnego i emisji akcji serii N.
Bank odpowiedział na pozew w dniu 26 kwietnia 1999 roku. Sąd rejonowy oddalił wniosek o zabezpieczenie powództwa poprzez wstrzymanie wykonania zaskarżonych Uchwał.
W dniu 9 lipca 1999 roku Kredyt Bank PBI S.A. złożył pozew dotyczący unieważnienia Uchwał WZA Banku z dnia 30 czerwca 1999 roku, w tym Uchwały dotyczącej zmiany Statutu Banku.  Bank złożył odpowiedź na pozew w dniu 5 sierpnia 1999 roku. Sąd Okręgowy w Warszawie Wydział XX Gospodarczy postanowieniem z dnia 27 lipca 1999 roku oddalił wniosek Kredyt Bank S.A. przeciwko BOŚ SA o wydanie zarządzenia tymczasowego zabezpieczającego powództwo o unieważnienie uchwał Walnego Zgromadzenia Akcjonariuszy BOŚ SA z dnia 30 czerwca 1999 roku.
W dniu 20 sierpnia 1999 roku Kredyt Bank S.A. wniósł do Sadu Apelacyjnego zażalenie na w/w postanowienie Sądu Okręgowego z dnia 27 lipca 1999 roku z wnioskiem o uchylenie zaskarżonego postanowienia i wydanie zarządzenia tymczasowego zgodnie z wnioskiem Kredyt Bank S.A. ( z dnia 2 lipca 1999 roku ).
W dniu 25 listopada 1999 roku Sąd Apelacyjny oddalił w/w zażalenie Kredyt Banku S.A.
Na skutek w/w postanowienia , Kredyt Bank S.A. wystąpił do Sądu Apelacyjnego o sporządzenie uzasadnienia tego postanowienia.
W dniu 19 stycznia 2000 roku Sąd Apelacyjny postanowił odmówić sporządzenia uzasadnienia postanowienia.
Na dzień sporządzenia sprawozdania finansowego oba powyższe postępowania sądowe były w toku.
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c) Zezwolenie na zmianę Statutu Banku związaną z podwyższeniem kapitału akcyjnego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W związku z prawidłowym opłaceniem akcji BOŚ SA serii N i dokonaniem ich przydziału, w dniu 30 czerwca 1999 roku Walne Zgromadzenie Akcjonariuszy BOŚ SA podjęło Uchwałę NR 14/99 w sprawie zmiany w Statucie Banku polegającej na podwyższeniu kapitału akcyjnego Banku do kwoty 159 500 000 złotych.
Pełnomocnicy ROLMEX S.A. i  Kredyt Banku PBI S.A.  oświadczając , iż głosowali przeciwko podjęciu tej uchwały zażądali zaprotokołowania sprzeciwu.
W dniu 12 lipca 1999 roku Zarząd Banku złożył w Sądzie Rejestrowym wniosek o ujawnienie w rejestrze handlowym zmian Statutu BOŚ SA dokonanych uchwałami Walnego Zgromadzenia Akcjonariuszy Banku w dniu 30 czerwca 1999 roku.
W dniu 20 lipca 1999 roku Bank otrzymał z KNB Uchwałę Nr 141/KNB/99 z dnia 14 lipca 1999 roku w sprawie zawieszenia postępowania w związku z wnioskiem BOŚ SA o wydanie przez KNB zezwolenia na zmianę Statutu Banku dotyczącą podwyższenia  kapitału akcyjnego BOŚ SA (Uchwała Nr 14/99 Zwyczajnego Walnego Zgromadzenia Akcjonariuszy z dnia 30 czerwca 1999 roku).  W uzasadnieniu Uchwały KNB powołała się na toczące się procesy w sprawach spornych opisanych w punkcie 2.b) Po rozstrzygnięciu postępowań sądowych, od których zależeć będzie czy zmiana Statutu istnieje czy też nie, KNB będzie mogła podjąć decyzję w przedmiocie wyrażenia zgody na wnioskowaną zmianę Statutu.
W związku z wymienioną uchwałą KNB, BOŚ SA złożył wniosek o ponowne rozpatrzenie sprawy zawieszenia postępowania o wydanie przez Komisję zezwolenia na zmianę Statutu Banku dotyczącą podwyższenia kapitału akcyjnego Banku.
W dniu 18 sierpnia 1999 roku wpłynęła do Banku Uchwała Nr 162/KNB/99 KNB z dnia 16 sierpnia 1999 roku w sprawie utrzymania w mocy Uchwały Nr 141/KNB/99 w sprawie zawieszenia postępowania.
W dniu 1 września 1999 roku BOŚ SA wniósł do Naczelnego Sądu Administracyjnego skargę na decyzję Komisji Nadzoru Bankowego zawartą w Uchwale Nr 162/KNB/99 z dnia 16 sierpnia 1999 roku utrzymującą w mocy Uchwałę Nr 141/KNB/99 z 14 lipca 1999 roku w sprawie zawieszenia przez KNB postępowania o wydanie zezwolenia na zmianę Statutu BOŚ SA.
Na dzień sporządzenia sprawozdania finansowego skarga nie została rozpatrzona.
W dniu 6 września 1999 roku Sąd Rejonowy XVI Wydział Gospodarczy zawiesił postępowanie w zakresie wpisania do rejestru zmiany  § 27 Statutu z powodu zawieszenia postępowania prowadzonego w tej sprawie przez KNB, wydając postanowienie w  sprawie ujawnienia zmian  § 5 i 15 Statutu, w związku z treścią uchwał podjętych przez WZA BOŚ SA.
W dniu 17 września 1999 roku Kredyt Bank S.A. złożył zażalenie na wyżej wymienione postanowienie Sądu Rejonowego XVI Wydział Gospodarczy w zakresie wpisania do rejestru zmiany  §  27 Statutu BOŚ SA oraz apelację od postanowienia o wpisaniu do rejestru handlowego zmiany § 15 Statutu BOŚ SA.
W dniu 4 października 1999 roku Sąd Rejonowy odmówił dopuszczenia Kredyt Banku S.A. do udziału w postępowaniu rejestrowym.
W dniu 19 października 1999 roku Kredyt Bank S.A. złożył do Sądu Okręgowego zażalenie na w/w postanowienie Sądu Rejonowego z dnia 4 października 1999 roku.
W dniu 25 stycznia 2000 roku Sąd Okręgowy oddalił w/w zażalenie Kredyt Banku S.A.
W dniu 16 lutego 2000 roku Sąd Rejonowy , XVI Wydział Gospodarczy w związku z treścią w/w postanowienia Sądu Okręgowego z dnia 25 stycznia 2000 roku odrzucił apelację Kredyt Bank S.A. z dnia 17 września 1999 roku.
Podniesienie kapitału akcyjnego w wyniku emisji akcji serii N zostało opłacone w całości gotówką. Środki pieniężne z emisji akcji serii N wpłynęły na rachunek DM BOŚ SA i zdeponowane są na rachunku DM BOŚ SA w Banku. Środki te wykazane są w pozycji Zobowiązania wobec instytucji finansowych (patrz nota 17).
Do dnia sporządzenia niniejszego raportu podwyższenie kapitału akcyjnego nie zostało zarejestrowane.
</a:t>
          </a:r>
        </a:p>
      </xdr:txBody>
    </xdr:sp>
    <xdr:clientData/>
  </xdr:oneCellAnchor>
  <xdr:oneCellAnchor>
    <xdr:from>
      <xdr:col>0</xdr:col>
      <xdr:colOff>28575</xdr:colOff>
      <xdr:row>1662</xdr:row>
      <xdr:rowOff>85725</xdr:rowOff>
    </xdr:from>
    <xdr:ext cx="6296025" cy="390525"/>
    <xdr:sp>
      <xdr:nvSpPr>
        <xdr:cNvPr id="10" name="TextBox 92"/>
        <xdr:cNvSpPr txBox="1">
          <a:spLocks noChangeArrowheads="1"/>
        </xdr:cNvSpPr>
      </xdr:nvSpPr>
      <xdr:spPr>
        <a:xfrm>
          <a:off x="28575" y="292379400"/>
          <a:ext cx="6296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Propozycja podziału zysku netto za 1999 rok będzie podlegać akceptacji Rady Banku i Walnego Zgromadzenia Akcjonariuszy i może ulec zmianie.</a:t>
          </a:r>
        </a:p>
      </xdr:txBody>
    </xdr:sp>
    <xdr:clientData/>
  </xdr:oneCellAnchor>
  <xdr:oneCellAnchor>
    <xdr:from>
      <xdr:col>0</xdr:col>
      <xdr:colOff>47625</xdr:colOff>
      <xdr:row>878</xdr:row>
      <xdr:rowOff>47625</xdr:rowOff>
    </xdr:from>
    <xdr:ext cx="6305550" cy="333375"/>
    <xdr:sp>
      <xdr:nvSpPr>
        <xdr:cNvPr id="11" name="TextBox 94"/>
        <xdr:cNvSpPr txBox="1">
          <a:spLocks noChangeArrowheads="1"/>
        </xdr:cNvSpPr>
      </xdr:nvSpPr>
      <xdr:spPr>
        <a:xfrm>
          <a:off x="47625" y="153790650"/>
          <a:ext cx="6305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 dzień 31 grudnia 1999 roku Bank ustalił nadpłatę zaliczek na podatek dochodowy od osób prawnych 
w wysokości 24 268 tysięcy złotych
</a:t>
          </a:r>
        </a:p>
      </xdr:txBody>
    </xdr:sp>
    <xdr:clientData/>
  </xdr:oneCellAnchor>
  <xdr:oneCellAnchor>
    <xdr:from>
      <xdr:col>0</xdr:col>
      <xdr:colOff>19050</xdr:colOff>
      <xdr:row>1478</xdr:row>
      <xdr:rowOff>57150</xdr:rowOff>
    </xdr:from>
    <xdr:ext cx="85725" cy="200025"/>
    <xdr:sp>
      <xdr:nvSpPr>
        <xdr:cNvPr id="12" name="TextBox 95"/>
        <xdr:cNvSpPr txBox="1">
          <a:spLocks noChangeArrowheads="1"/>
        </xdr:cNvSpPr>
      </xdr:nvSpPr>
      <xdr:spPr>
        <a:xfrm>
          <a:off x="19050" y="25998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57150</xdr:colOff>
      <xdr:row>1478</xdr:row>
      <xdr:rowOff>85725</xdr:rowOff>
    </xdr:from>
    <xdr:ext cx="6257925" cy="371475"/>
    <xdr:sp>
      <xdr:nvSpPr>
        <xdr:cNvPr id="13" name="TextBox 96"/>
        <xdr:cNvSpPr txBox="1">
          <a:spLocks noChangeArrowheads="1"/>
        </xdr:cNvSpPr>
      </xdr:nvSpPr>
      <xdr:spPr>
        <a:xfrm>
          <a:off x="57150" y="26001345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 dzień 31 grudnia 1999 roku w pozycji inne wykazano utworzoną rezerwę w wysokości 5 400 tysięcy złotych na pokrycie przewidywanych strat w związku z likwidacją Banku Staropolskiego.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2"/>
  <sheetViews>
    <sheetView tabSelected="1" zoomScaleSheetLayoutView="100" workbookViewId="0" topLeftCell="A1">
      <selection activeCell="F1380" sqref="F1380"/>
    </sheetView>
  </sheetViews>
  <sheetFormatPr defaultColWidth="9.00390625" defaultRowHeight="12.75"/>
  <cols>
    <col min="1" max="1" width="53.75390625" style="7" customWidth="1"/>
    <col min="2" max="2" width="7.375" style="7" customWidth="1"/>
    <col min="3" max="4" width="11.25390625" style="338" customWidth="1"/>
    <col min="5" max="5" width="8.75390625" style="7" customWidth="1"/>
    <col min="6" max="6" width="15.875" style="7" customWidth="1"/>
    <col min="7" max="7" width="11.25390625" style="7" customWidth="1"/>
    <col min="8" max="8" width="13.875" style="7" customWidth="1"/>
    <col min="9" max="9" width="16.375" style="7" customWidth="1"/>
    <col min="10" max="10" width="18.375" style="7" customWidth="1"/>
    <col min="11" max="11" width="8.00390625" style="7" customWidth="1"/>
    <col min="12" max="12" width="15.375" style="7" customWidth="1"/>
    <col min="13" max="13" width="8.375" style="7" customWidth="1"/>
    <col min="14" max="14" width="14.375" style="7" customWidth="1"/>
    <col min="15" max="15" width="9.75390625" style="7" customWidth="1"/>
    <col min="16" max="16" width="19.375" style="7" customWidth="1"/>
    <col min="17" max="16384" width="9.125" style="7" customWidth="1"/>
  </cols>
  <sheetData>
    <row r="1" spans="1:4" ht="15.75" customHeight="1" thickBot="1">
      <c r="A1" s="44" t="s">
        <v>649</v>
      </c>
      <c r="B1" s="25"/>
      <c r="C1" s="274"/>
      <c r="D1" s="274"/>
    </row>
    <row r="2" spans="1:4" ht="24" customHeight="1" thickBot="1" thickTop="1">
      <c r="A2" s="133" t="s">
        <v>650</v>
      </c>
      <c r="B2" s="134" t="s">
        <v>651</v>
      </c>
      <c r="C2" s="275" t="s">
        <v>2</v>
      </c>
      <c r="D2" s="276" t="s">
        <v>1</v>
      </c>
    </row>
    <row r="3" spans="1:4" ht="12" customHeight="1" thickBot="1">
      <c r="A3" s="146" t="s">
        <v>652</v>
      </c>
      <c r="B3" s="147"/>
      <c r="C3" s="419"/>
      <c r="D3" s="421"/>
    </row>
    <row r="4" spans="1:4" ht="12" customHeight="1">
      <c r="A4" s="130" t="s">
        <v>653</v>
      </c>
      <c r="B4" s="131">
        <v>1</v>
      </c>
      <c r="C4" s="282">
        <v>78500</v>
      </c>
      <c r="D4" s="422">
        <v>207447</v>
      </c>
    </row>
    <row r="5" spans="1:4" ht="24" customHeight="1">
      <c r="A5" s="10" t="s">
        <v>654</v>
      </c>
      <c r="B5" s="1"/>
      <c r="C5" s="339">
        <v>0</v>
      </c>
      <c r="D5" s="340">
        <v>0</v>
      </c>
    </row>
    <row r="6" spans="1:4" ht="12" customHeight="1">
      <c r="A6" s="10" t="s">
        <v>655</v>
      </c>
      <c r="B6" s="1">
        <v>2</v>
      </c>
      <c r="C6" s="278">
        <f>SUM(C7:C8)</f>
        <v>530085</v>
      </c>
      <c r="D6" s="279">
        <f>SUM(D7:D8)</f>
        <v>183296</v>
      </c>
    </row>
    <row r="7" spans="1:4" ht="12" customHeight="1">
      <c r="A7" s="10" t="s">
        <v>656</v>
      </c>
      <c r="B7" s="1"/>
      <c r="C7" s="278">
        <v>17893</v>
      </c>
      <c r="D7" s="279">
        <f>7836+1255</f>
        <v>9091</v>
      </c>
    </row>
    <row r="8" spans="1:4" ht="12" customHeight="1">
      <c r="A8" s="10" t="s">
        <v>657</v>
      </c>
      <c r="B8" s="1"/>
      <c r="C8" s="278">
        <v>512192</v>
      </c>
      <c r="D8" s="279">
        <f>105166+69039</f>
        <v>174205</v>
      </c>
    </row>
    <row r="9" spans="1:4" ht="12" customHeight="1">
      <c r="A9" s="10" t="s">
        <v>658</v>
      </c>
      <c r="B9" s="1">
        <v>3</v>
      </c>
      <c r="C9" s="278">
        <f>SUM(C10:C11)</f>
        <v>2598188</v>
      </c>
      <c r="D9" s="279">
        <f>SUM(D10:D11)</f>
        <v>2026142</v>
      </c>
    </row>
    <row r="10" spans="1:4" ht="12" customHeight="1">
      <c r="A10" s="10" t="s">
        <v>656</v>
      </c>
      <c r="B10" s="1"/>
      <c r="C10" s="278">
        <v>149994</v>
      </c>
      <c r="D10" s="279">
        <f>109004-1255</f>
        <v>107749</v>
      </c>
    </row>
    <row r="11" spans="1:4" ht="12" customHeight="1">
      <c r="A11" s="10" t="s">
        <v>657</v>
      </c>
      <c r="B11" s="1"/>
      <c r="C11" s="278">
        <v>2448194</v>
      </c>
      <c r="D11" s="279">
        <f>1987432-69039</f>
        <v>1918393</v>
      </c>
    </row>
    <row r="12" spans="1:4" ht="24">
      <c r="A12" s="10" t="s">
        <v>659</v>
      </c>
      <c r="B12" s="414">
        <v>4</v>
      </c>
      <c r="C12" s="339">
        <v>12736</v>
      </c>
      <c r="D12" s="340">
        <v>0</v>
      </c>
    </row>
    <row r="13" spans="1:4" ht="12" customHeight="1">
      <c r="A13" s="10" t="s">
        <v>660</v>
      </c>
      <c r="B13" s="1" t="s">
        <v>661</v>
      </c>
      <c r="C13" s="278">
        <v>552186</v>
      </c>
      <c r="D13" s="279">
        <v>721311</v>
      </c>
    </row>
    <row r="14" spans="1:4" ht="12" customHeight="1">
      <c r="A14" s="10" t="s">
        <v>662</v>
      </c>
      <c r="B14" s="1" t="s">
        <v>663</v>
      </c>
      <c r="C14" s="278">
        <v>12750</v>
      </c>
      <c r="D14" s="279">
        <v>7750</v>
      </c>
    </row>
    <row r="15" spans="1:4" ht="12" customHeight="1">
      <c r="A15" s="10" t="s">
        <v>664</v>
      </c>
      <c r="B15" s="1" t="s">
        <v>665</v>
      </c>
      <c r="C15" s="278">
        <v>28249</v>
      </c>
      <c r="D15" s="279">
        <v>2268</v>
      </c>
    </row>
    <row r="16" spans="1:4" ht="12" customHeight="1">
      <c r="A16" s="10" t="s">
        <v>666</v>
      </c>
      <c r="B16" s="1" t="s">
        <v>667</v>
      </c>
      <c r="C16" s="278">
        <v>16416</v>
      </c>
      <c r="D16" s="279">
        <v>19932</v>
      </c>
    </row>
    <row r="17" spans="1:4" ht="12" customHeight="1">
      <c r="A17" s="10" t="s">
        <v>668</v>
      </c>
      <c r="B17" s="1" t="s">
        <v>669</v>
      </c>
      <c r="C17" s="278">
        <v>0</v>
      </c>
      <c r="D17" s="279">
        <v>0</v>
      </c>
    </row>
    <row r="18" spans="1:4" ht="12" customHeight="1">
      <c r="A18" s="10" t="s">
        <v>670</v>
      </c>
      <c r="B18" s="1">
        <v>12</v>
      </c>
      <c r="C18" s="278">
        <v>7952</v>
      </c>
      <c r="D18" s="279">
        <v>6932</v>
      </c>
    </row>
    <row r="19" spans="1:4" ht="12" customHeight="1">
      <c r="A19" s="10" t="s">
        <v>671</v>
      </c>
      <c r="B19" s="1">
        <v>13</v>
      </c>
      <c r="C19" s="278">
        <v>72401</v>
      </c>
      <c r="D19" s="279">
        <v>65640</v>
      </c>
    </row>
    <row r="20" spans="1:4" ht="12" customHeight="1">
      <c r="A20" s="10" t="s">
        <v>672</v>
      </c>
      <c r="B20" s="1">
        <v>14</v>
      </c>
      <c r="C20" s="278">
        <v>0</v>
      </c>
      <c r="D20" s="279">
        <v>0</v>
      </c>
    </row>
    <row r="21" spans="1:4" ht="12" customHeight="1">
      <c r="A21" s="10" t="s">
        <v>673</v>
      </c>
      <c r="B21" s="1">
        <v>15</v>
      </c>
      <c r="C21" s="278">
        <f>SUM(C22:C23)</f>
        <v>29899</v>
      </c>
      <c r="D21" s="279">
        <f>SUM(D22:D23)</f>
        <v>23936</v>
      </c>
    </row>
    <row r="22" spans="1:4" ht="12" customHeight="1">
      <c r="A22" s="10" t="s">
        <v>683</v>
      </c>
      <c r="B22" s="1"/>
      <c r="C22" s="278">
        <v>0</v>
      </c>
      <c r="D22" s="279">
        <v>0</v>
      </c>
    </row>
    <row r="23" spans="1:4" ht="12" customHeight="1">
      <c r="A23" s="10" t="s">
        <v>684</v>
      </c>
      <c r="B23" s="1"/>
      <c r="C23" s="278">
        <v>29899</v>
      </c>
      <c r="D23" s="279">
        <v>23936</v>
      </c>
    </row>
    <row r="24" spans="1:4" ht="12" customHeight="1">
      <c r="A24" s="10" t="s">
        <v>685</v>
      </c>
      <c r="B24" s="1">
        <v>16</v>
      </c>
      <c r="C24" s="278">
        <f>SUM(C25:C26)</f>
        <v>1490</v>
      </c>
      <c r="D24" s="279">
        <f>SUM(D25:D26)</f>
        <v>1163</v>
      </c>
    </row>
    <row r="25" spans="1:4" ht="12" customHeight="1">
      <c r="A25" s="10" t="s">
        <v>686</v>
      </c>
      <c r="B25" s="1"/>
      <c r="C25" s="278">
        <v>0</v>
      </c>
      <c r="D25" s="279">
        <v>0</v>
      </c>
    </row>
    <row r="26" spans="1:4" ht="12" customHeight="1">
      <c r="A26" s="10" t="s">
        <v>687</v>
      </c>
      <c r="B26" s="1"/>
      <c r="C26" s="278">
        <v>1490</v>
      </c>
      <c r="D26" s="279">
        <v>1163</v>
      </c>
    </row>
    <row r="27" spans="1:4" s="41" customFormat="1" ht="12" customHeight="1" thickBot="1">
      <c r="A27" s="148" t="s">
        <v>688</v>
      </c>
      <c r="B27" s="132"/>
      <c r="C27" s="280">
        <f>C4+C5+C6+C9+C12+C13+C14+C15+C16+C17+C18+C19+C20+C21+C24</f>
        <v>3940852</v>
      </c>
      <c r="D27" s="281">
        <f>D4+D5+D6+D9+D12+D13+D14+D15+D16+D17+D18+D19+D20+D21+D24</f>
        <v>3265817</v>
      </c>
    </row>
    <row r="28" spans="1:4" ht="12" customHeight="1" thickBot="1">
      <c r="A28" s="146" t="s">
        <v>689</v>
      </c>
      <c r="B28" s="147"/>
      <c r="C28" s="419"/>
      <c r="D28" s="421"/>
    </row>
    <row r="29" spans="1:4" ht="12" customHeight="1">
      <c r="A29" s="130" t="s">
        <v>690</v>
      </c>
      <c r="B29" s="131"/>
      <c r="C29" s="282">
        <v>0</v>
      </c>
      <c r="D29" s="277">
        <v>0</v>
      </c>
    </row>
    <row r="30" spans="1:4" ht="12" customHeight="1">
      <c r="A30" s="10" t="s">
        <v>691</v>
      </c>
      <c r="B30" s="1">
        <v>17</v>
      </c>
      <c r="C30" s="278">
        <f>SUM(C31:C32)</f>
        <v>428758</v>
      </c>
      <c r="D30" s="279">
        <f>SUM(D31:D32)</f>
        <v>154980</v>
      </c>
    </row>
    <row r="31" spans="1:4" ht="12" customHeight="1">
      <c r="A31" s="10" t="s">
        <v>692</v>
      </c>
      <c r="B31" s="1"/>
      <c r="C31" s="278">
        <v>7660</v>
      </c>
      <c r="D31" s="279">
        <f>5132+1928</f>
        <v>7060</v>
      </c>
    </row>
    <row r="32" spans="1:4" ht="12" customHeight="1">
      <c r="A32" s="10" t="s">
        <v>657</v>
      </c>
      <c r="B32" s="1"/>
      <c r="C32" s="278">
        <v>421098</v>
      </c>
      <c r="D32" s="279">
        <f>145078+2842</f>
        <v>147920</v>
      </c>
    </row>
    <row r="33" spans="1:4" ht="12" customHeight="1">
      <c r="A33" s="10" t="s">
        <v>693</v>
      </c>
      <c r="B33" s="1">
        <v>18</v>
      </c>
      <c r="C33" s="278">
        <f>C34+C37</f>
        <v>2641096</v>
      </c>
      <c r="D33" s="279">
        <f>D34+D37</f>
        <v>2412942</v>
      </c>
    </row>
    <row r="34" spans="1:4" ht="12" customHeight="1">
      <c r="A34" s="10" t="s">
        <v>694</v>
      </c>
      <c r="B34" s="1"/>
      <c r="C34" s="278">
        <f>SUM(C35:C36)</f>
        <v>1554</v>
      </c>
      <c r="D34" s="279">
        <f>SUM(D35:D36)</f>
        <v>51596</v>
      </c>
    </row>
    <row r="35" spans="1:4" ht="12" customHeight="1">
      <c r="A35" s="11" t="s">
        <v>695</v>
      </c>
      <c r="B35" s="1"/>
      <c r="C35" s="278">
        <v>0</v>
      </c>
      <c r="D35" s="279">
        <v>1567</v>
      </c>
    </row>
    <row r="36" spans="1:4" ht="12" customHeight="1">
      <c r="A36" s="10" t="s">
        <v>696</v>
      </c>
      <c r="B36" s="1"/>
      <c r="C36" s="278">
        <v>1554</v>
      </c>
      <c r="D36" s="279">
        <v>50029</v>
      </c>
    </row>
    <row r="37" spans="1:4" ht="12" customHeight="1">
      <c r="A37" s="10" t="s">
        <v>697</v>
      </c>
      <c r="B37" s="1"/>
      <c r="C37" s="278">
        <f>SUM(C38:C39)</f>
        <v>2639542</v>
      </c>
      <c r="D37" s="279">
        <f>SUM(D38:D39)</f>
        <v>2361346</v>
      </c>
    </row>
    <row r="38" spans="1:4" ht="12" customHeight="1">
      <c r="A38" s="10" t="s">
        <v>695</v>
      </c>
      <c r="B38" s="1"/>
      <c r="C38" s="278">
        <v>525402</v>
      </c>
      <c r="D38" s="279">
        <f>524607-1928</f>
        <v>522679</v>
      </c>
    </row>
    <row r="39" spans="1:4" ht="12" customHeight="1">
      <c r="A39" s="10" t="s">
        <v>696</v>
      </c>
      <c r="B39" s="1"/>
      <c r="C39" s="278">
        <v>2114140</v>
      </c>
      <c r="D39" s="279">
        <f>1841509-2842</f>
        <v>1838667</v>
      </c>
    </row>
    <row r="40" spans="1:4" ht="24">
      <c r="A40" s="10" t="s">
        <v>698</v>
      </c>
      <c r="B40" s="414">
        <v>19</v>
      </c>
      <c r="C40" s="339">
        <v>72810</v>
      </c>
      <c r="D40" s="340">
        <v>0</v>
      </c>
    </row>
    <row r="41" spans="1:4" ht="12" customHeight="1">
      <c r="A41" s="10" t="s">
        <v>699</v>
      </c>
      <c r="B41" s="1">
        <v>20</v>
      </c>
      <c r="C41" s="278">
        <v>103752</v>
      </c>
      <c r="D41" s="279">
        <v>52753</v>
      </c>
    </row>
    <row r="42" spans="1:4" ht="12" customHeight="1">
      <c r="A42" s="10" t="s">
        <v>700</v>
      </c>
      <c r="B42" s="1">
        <v>21</v>
      </c>
      <c r="C42" s="278">
        <v>21704</v>
      </c>
      <c r="D42" s="279">
        <v>67810</v>
      </c>
    </row>
    <row r="43" spans="1:4" ht="12" customHeight="1">
      <c r="A43" s="10" t="s">
        <v>701</v>
      </c>
      <c r="B43" s="1">
        <v>22</v>
      </c>
      <c r="C43" s="278">
        <v>42293</v>
      </c>
      <c r="D43" s="279">
        <v>48051</v>
      </c>
    </row>
    <row r="44" spans="1:4" ht="12" customHeight="1">
      <c r="A44" s="10" t="s">
        <v>702</v>
      </c>
      <c r="B44" s="1">
        <v>23</v>
      </c>
      <c r="C44" s="278">
        <f>SUM(C45:C46)</f>
        <v>46146</v>
      </c>
      <c r="D44" s="279">
        <f>SUM(D45:D46)</f>
        <v>16687</v>
      </c>
    </row>
    <row r="45" spans="1:4" ht="12" customHeight="1">
      <c r="A45" s="10" t="s">
        <v>703</v>
      </c>
      <c r="B45" s="1"/>
      <c r="C45" s="278">
        <v>36319</v>
      </c>
      <c r="D45" s="279">
        <v>8257</v>
      </c>
    </row>
    <row r="46" spans="1:4" ht="12" customHeight="1">
      <c r="A46" s="10" t="s">
        <v>704</v>
      </c>
      <c r="B46" s="1"/>
      <c r="C46" s="278">
        <v>9827</v>
      </c>
      <c r="D46" s="279">
        <v>8430</v>
      </c>
    </row>
    <row r="47" spans="1:4" ht="12" customHeight="1">
      <c r="A47" s="10" t="s">
        <v>705</v>
      </c>
      <c r="B47" s="1">
        <v>24</v>
      </c>
      <c r="C47" s="278">
        <v>0</v>
      </c>
      <c r="D47" s="279">
        <v>0</v>
      </c>
    </row>
    <row r="48" spans="1:4" ht="12" customHeight="1">
      <c r="A48" s="10" t="s">
        <v>706</v>
      </c>
      <c r="B48" s="1">
        <v>25</v>
      </c>
      <c r="C48" s="278">
        <v>132000</v>
      </c>
      <c r="D48" s="279">
        <v>132000</v>
      </c>
    </row>
    <row r="49" spans="1:4" ht="12" customHeight="1">
      <c r="A49" s="10" t="s">
        <v>707</v>
      </c>
      <c r="B49" s="1"/>
      <c r="C49" s="278">
        <v>0</v>
      </c>
      <c r="D49" s="279">
        <v>0</v>
      </c>
    </row>
    <row r="50" spans="1:4" ht="12" customHeight="1">
      <c r="A50" s="10" t="s">
        <v>708</v>
      </c>
      <c r="B50" s="1">
        <v>26</v>
      </c>
      <c r="C50" s="278">
        <v>331659</v>
      </c>
      <c r="D50" s="279">
        <v>264787</v>
      </c>
    </row>
    <row r="51" spans="1:4" ht="12" customHeight="1">
      <c r="A51" s="10" t="s">
        <v>709</v>
      </c>
      <c r="B51" s="1"/>
      <c r="C51" s="278">
        <v>4108</v>
      </c>
      <c r="D51" s="279">
        <v>4234</v>
      </c>
    </row>
    <row r="52" spans="1:4" ht="12" customHeight="1">
      <c r="A52" s="10" t="s">
        <v>710</v>
      </c>
      <c r="B52" s="1">
        <v>27</v>
      </c>
      <c r="C52" s="278">
        <v>20000</v>
      </c>
      <c r="D52" s="279">
        <v>10000</v>
      </c>
    </row>
    <row r="53" spans="1:4" ht="12" customHeight="1">
      <c r="A53" s="10" t="s">
        <v>711</v>
      </c>
      <c r="B53" s="1"/>
      <c r="C53" s="278">
        <v>0</v>
      </c>
      <c r="D53" s="279">
        <v>0</v>
      </c>
    </row>
    <row r="54" spans="1:4" ht="12" customHeight="1">
      <c r="A54" s="10" t="s">
        <v>713</v>
      </c>
      <c r="B54" s="1">
        <v>28</v>
      </c>
      <c r="C54" s="278">
        <v>0</v>
      </c>
      <c r="D54" s="279">
        <v>0</v>
      </c>
    </row>
    <row r="55" spans="1:4" ht="12" customHeight="1">
      <c r="A55" s="10" t="s">
        <v>714</v>
      </c>
      <c r="B55" s="1"/>
      <c r="C55" s="278">
        <v>96526</v>
      </c>
      <c r="D55" s="279">
        <v>101573</v>
      </c>
    </row>
    <row r="56" spans="1:4" s="41" customFormat="1" ht="12" customHeight="1" thickBot="1">
      <c r="A56" s="139" t="s">
        <v>715</v>
      </c>
      <c r="B56" s="52"/>
      <c r="C56" s="283">
        <f>C29+C30+C33+C40+C41+C42+C43+C44+C47+C48+C49+C50+C51+C52+C53+C54+C55</f>
        <v>3940852</v>
      </c>
      <c r="D56" s="284">
        <f>D29+D30+D33+D40+D41+D42+D43+D44+D47+D48+D49+D50+D51+D52+D53+D54+D55</f>
        <v>3265817</v>
      </c>
    </row>
    <row r="57" spans="1:4" ht="9.75" customHeight="1" thickBot="1" thickTop="1">
      <c r="A57" s="3"/>
      <c r="B57" s="25"/>
      <c r="C57" s="420"/>
      <c r="D57" s="285"/>
    </row>
    <row r="58" spans="1:4" s="41" customFormat="1" ht="14.25" thickBot="1" thickTop="1">
      <c r="A58" s="140" t="s">
        <v>716</v>
      </c>
      <c r="B58" s="108">
        <v>29</v>
      </c>
      <c r="C58" s="341">
        <v>24.5</v>
      </c>
      <c r="D58" s="415">
        <v>22.56</v>
      </c>
    </row>
    <row r="59" spans="1:5" ht="9.75" customHeight="1" thickBot="1" thickTop="1">
      <c r="A59" s="3"/>
      <c r="B59" s="25"/>
      <c r="C59" s="25"/>
      <c r="D59" s="285"/>
      <c r="E59" s="285"/>
    </row>
    <row r="60" spans="1:4" s="41" customFormat="1" ht="13.5" thickTop="1">
      <c r="A60" s="141" t="s">
        <v>718</v>
      </c>
      <c r="B60" s="50"/>
      <c r="C60" s="342">
        <f>C48+C50+C51+C52+C55</f>
        <v>584293</v>
      </c>
      <c r="D60" s="343">
        <v>512594</v>
      </c>
    </row>
    <row r="61" spans="1:4" s="41" customFormat="1" ht="12.75">
      <c r="A61" s="142" t="s">
        <v>719</v>
      </c>
      <c r="B61" s="51"/>
      <c r="C61" s="344">
        <v>13200000</v>
      </c>
      <c r="D61" s="345">
        <v>13200000</v>
      </c>
    </row>
    <row r="62" spans="1:4" s="41" customFormat="1" ht="13.5" thickBot="1">
      <c r="A62" s="143" t="s">
        <v>720</v>
      </c>
      <c r="B62" s="109">
        <v>29</v>
      </c>
      <c r="C62" s="346">
        <f>C60/C61*1000</f>
        <v>44.26462121212121</v>
      </c>
      <c r="D62" s="416">
        <v>38.83</v>
      </c>
    </row>
    <row r="63" spans="1:4" ht="9.75" customHeight="1" thickBot="1" thickTop="1">
      <c r="A63" s="3"/>
      <c r="B63" s="25"/>
      <c r="C63" s="285"/>
      <c r="D63" s="285"/>
    </row>
    <row r="64" spans="1:4" s="41" customFormat="1" ht="13.5" thickTop="1">
      <c r="A64" s="144" t="s">
        <v>721</v>
      </c>
      <c r="B64" s="50"/>
      <c r="C64" s="636">
        <v>15950000</v>
      </c>
      <c r="D64" s="423">
        <v>13200000</v>
      </c>
    </row>
    <row r="65" spans="1:4" s="41" customFormat="1" ht="13.5" thickBot="1">
      <c r="A65" s="145" t="s">
        <v>722</v>
      </c>
      <c r="B65" s="123"/>
      <c r="C65" s="637">
        <v>36.63</v>
      </c>
      <c r="D65" s="424">
        <v>38.83</v>
      </c>
    </row>
    <row r="66" spans="1:5" ht="13.5" thickTop="1">
      <c r="A66" s="3"/>
      <c r="B66" s="25"/>
      <c r="C66" s="25"/>
      <c r="D66" s="285"/>
      <c r="E66" s="285"/>
    </row>
    <row r="67" spans="1:5" ht="19.5" thickBot="1">
      <c r="A67" s="45" t="s">
        <v>723</v>
      </c>
      <c r="B67" s="9"/>
      <c r="C67" s="9"/>
      <c r="D67" s="286" t="s">
        <v>724</v>
      </c>
      <c r="E67" s="327" t="s">
        <v>724</v>
      </c>
    </row>
    <row r="68" spans="1:5" ht="13.5" thickTop="1">
      <c r="A68" s="11" t="s">
        <v>725</v>
      </c>
      <c r="C68" s="425">
        <f>C69+C72</f>
        <v>1035326</v>
      </c>
      <c r="D68" s="311">
        <f>D69+D72</f>
        <v>680983</v>
      </c>
      <c r="E68" s="8"/>
    </row>
    <row r="69" spans="1:4" ht="12.75">
      <c r="A69" s="11" t="s">
        <v>726</v>
      </c>
      <c r="B69" s="1"/>
      <c r="C69" s="425">
        <f>SUM(C70:C71)</f>
        <v>749954</v>
      </c>
      <c r="D69" s="279">
        <f>SUM(D70:D71)</f>
        <v>324425</v>
      </c>
    </row>
    <row r="70" spans="1:4" ht="12.75">
      <c r="A70" s="11" t="s">
        <v>727</v>
      </c>
      <c r="B70" s="1"/>
      <c r="C70" s="425">
        <v>612967</v>
      </c>
      <c r="D70" s="279">
        <v>270695</v>
      </c>
    </row>
    <row r="71" spans="1:4" ht="12.75">
      <c r="A71" s="11" t="s">
        <v>728</v>
      </c>
      <c r="B71" s="1">
        <v>30</v>
      </c>
      <c r="C71" s="425">
        <v>136987</v>
      </c>
      <c r="D71" s="279">
        <v>53730</v>
      </c>
    </row>
    <row r="72" spans="1:4" ht="12.75">
      <c r="A72" s="11" t="s">
        <v>729</v>
      </c>
      <c r="B72" s="1"/>
      <c r="C72" s="425">
        <f>SUM(C73:C74)</f>
        <v>285372</v>
      </c>
      <c r="D72" s="279">
        <f>SUM(D73:D74)</f>
        <v>356558</v>
      </c>
    </row>
    <row r="73" spans="1:4" ht="12.75">
      <c r="A73" s="11" t="s">
        <v>727</v>
      </c>
      <c r="B73" s="1"/>
      <c r="C73" s="425">
        <v>0</v>
      </c>
      <c r="D73" s="279">
        <v>20457</v>
      </c>
    </row>
    <row r="74" spans="1:4" ht="12.75">
      <c r="A74" s="11" t="s">
        <v>728</v>
      </c>
      <c r="B74" s="1"/>
      <c r="C74" s="425">
        <v>285372</v>
      </c>
      <c r="D74" s="279">
        <v>336101</v>
      </c>
    </row>
    <row r="75" spans="1:4" ht="12.75">
      <c r="A75" s="11" t="s">
        <v>730</v>
      </c>
      <c r="B75" s="1"/>
      <c r="C75" s="425">
        <v>7225</v>
      </c>
      <c r="D75" s="279">
        <v>56240</v>
      </c>
    </row>
    <row r="76" spans="1:4" ht="12.75">
      <c r="A76" s="11" t="s">
        <v>731</v>
      </c>
      <c r="B76" s="1"/>
      <c r="C76" s="425">
        <f>C77</f>
        <v>1935</v>
      </c>
      <c r="D76" s="279">
        <f>SUM(D77:D77)</f>
        <v>5544</v>
      </c>
    </row>
    <row r="77" spans="1:4" ht="12.75">
      <c r="A77" s="11" t="s">
        <v>3</v>
      </c>
      <c r="B77" s="1"/>
      <c r="C77" s="425">
        <v>1935</v>
      </c>
      <c r="D77" s="279">
        <v>5544</v>
      </c>
    </row>
    <row r="78" spans="1:4" s="41" customFormat="1" ht="13.5" thickBot="1">
      <c r="A78" s="149" t="s">
        <v>733</v>
      </c>
      <c r="B78" s="52"/>
      <c r="C78" s="426">
        <f>C68+C75+C76</f>
        <v>1044486</v>
      </c>
      <c r="D78" s="288">
        <f>D68+D75+D76</f>
        <v>742767</v>
      </c>
    </row>
    <row r="79" spans="1:4" ht="13.5" thickTop="1">
      <c r="A79" s="3"/>
      <c r="B79" s="25"/>
      <c r="C79" s="285"/>
      <c r="D79" s="285"/>
    </row>
    <row r="80" spans="1:4" ht="22.5" customHeight="1" thickBot="1">
      <c r="A80" s="65" t="s">
        <v>734</v>
      </c>
      <c r="B80" s="25"/>
      <c r="C80" s="289"/>
      <c r="D80" s="285"/>
    </row>
    <row r="81" spans="1:4" ht="33.75" customHeight="1" thickTop="1">
      <c r="A81" s="153" t="s">
        <v>735</v>
      </c>
      <c r="B81" s="269" t="s">
        <v>651</v>
      </c>
      <c r="C81" s="427" t="s">
        <v>5</v>
      </c>
      <c r="D81" s="290" t="s">
        <v>4</v>
      </c>
    </row>
    <row r="82" spans="1:4" ht="12.75">
      <c r="A82" s="13" t="s">
        <v>736</v>
      </c>
      <c r="B82" s="1">
        <v>31</v>
      </c>
      <c r="C82" s="425">
        <v>423426</v>
      </c>
      <c r="D82" s="279">
        <v>436958</v>
      </c>
    </row>
    <row r="83" spans="1:4" ht="12.75">
      <c r="A83" s="13" t="s">
        <v>737</v>
      </c>
      <c r="B83" s="1">
        <v>32</v>
      </c>
      <c r="C83" s="625">
        <v>-225529</v>
      </c>
      <c r="D83" s="626">
        <v>-243652</v>
      </c>
    </row>
    <row r="84" spans="1:4" s="41" customFormat="1" ht="12.75">
      <c r="A84" s="53" t="s">
        <v>738</v>
      </c>
      <c r="B84" s="54"/>
      <c r="C84" s="428">
        <f>SUM(C82:C83)</f>
        <v>197897</v>
      </c>
      <c r="D84" s="291">
        <f>SUM(D82:D83)</f>
        <v>193306</v>
      </c>
    </row>
    <row r="85" spans="1:4" ht="12.75">
      <c r="A85" s="13" t="s">
        <v>739</v>
      </c>
      <c r="B85" s="1">
        <v>33</v>
      </c>
      <c r="C85" s="425">
        <v>80287</v>
      </c>
      <c r="D85" s="279">
        <v>70673</v>
      </c>
    </row>
    <row r="86" spans="1:4" ht="12.75">
      <c r="A86" s="13" t="s">
        <v>740</v>
      </c>
      <c r="B86" s="1"/>
      <c r="C86" s="625">
        <v>-1813</v>
      </c>
      <c r="D86" s="626">
        <v>-856</v>
      </c>
    </row>
    <row r="87" spans="1:4" s="41" customFormat="1" ht="12.75">
      <c r="A87" s="53" t="s">
        <v>741</v>
      </c>
      <c r="B87" s="54"/>
      <c r="C87" s="428">
        <f>C85+C86</f>
        <v>78474</v>
      </c>
      <c r="D87" s="291">
        <f>SUM(D85:D86)</f>
        <v>69817</v>
      </c>
    </row>
    <row r="88" spans="1:4" ht="24">
      <c r="A88" s="13" t="s">
        <v>742</v>
      </c>
      <c r="B88" s="1">
        <v>34</v>
      </c>
      <c r="C88" s="429">
        <v>336</v>
      </c>
      <c r="D88" s="340">
        <v>7</v>
      </c>
    </row>
    <row r="89" spans="1:4" s="41" customFormat="1" ht="12.75">
      <c r="A89" s="53" t="s">
        <v>743</v>
      </c>
      <c r="B89" s="347">
        <v>35</v>
      </c>
      <c r="C89" s="627">
        <v>-2540</v>
      </c>
      <c r="D89" s="291">
        <v>896</v>
      </c>
    </row>
    <row r="90" spans="1:4" ht="12.75">
      <c r="A90" s="13" t="s">
        <v>744</v>
      </c>
      <c r="B90" s="1"/>
      <c r="C90" s="425">
        <v>2851</v>
      </c>
      <c r="D90" s="279">
        <v>4483</v>
      </c>
    </row>
    <row r="91" spans="1:4" s="41" customFormat="1" ht="12.75">
      <c r="A91" s="53" t="s">
        <v>745</v>
      </c>
      <c r="B91" s="54"/>
      <c r="C91" s="428">
        <f>C84+C87+C88+C89+C90</f>
        <v>277018</v>
      </c>
      <c r="D91" s="291">
        <f>D84+D87+D88+D89+D90</f>
        <v>268509</v>
      </c>
    </row>
    <row r="92" spans="1:4" ht="12.75">
      <c r="A92" s="13" t="s">
        <v>746</v>
      </c>
      <c r="B92" s="1">
        <v>36</v>
      </c>
      <c r="C92" s="425">
        <v>8059</v>
      </c>
      <c r="D92" s="279">
        <v>3865</v>
      </c>
    </row>
    <row r="93" spans="1:4" ht="12.75">
      <c r="A93" s="13" t="s">
        <v>747</v>
      </c>
      <c r="B93" s="1">
        <v>37</v>
      </c>
      <c r="C93" s="625">
        <v>-2230</v>
      </c>
      <c r="D93" s="626">
        <v>-846</v>
      </c>
    </row>
    <row r="94" spans="1:4" ht="12.75">
      <c r="A94" s="13" t="s">
        <v>748</v>
      </c>
      <c r="B94" s="1">
        <v>38</v>
      </c>
      <c r="C94" s="625">
        <v>-118886</v>
      </c>
      <c r="D94" s="626">
        <v>-91834</v>
      </c>
    </row>
    <row r="95" spans="1:4" ht="24">
      <c r="A95" s="13" t="s">
        <v>749</v>
      </c>
      <c r="B95" s="1"/>
      <c r="C95" s="628">
        <v>-10400</v>
      </c>
      <c r="D95" s="629">
        <v>-10073</v>
      </c>
    </row>
    <row r="96" spans="1:4" ht="12.75">
      <c r="A96" s="13" t="s">
        <v>750</v>
      </c>
      <c r="B96" s="1">
        <v>39</v>
      </c>
      <c r="C96" s="625">
        <v>-37975</v>
      </c>
      <c r="D96" s="626">
        <v>-36520</v>
      </c>
    </row>
    <row r="97" spans="1:4" ht="12.75">
      <c r="A97" s="13" t="s">
        <v>751</v>
      </c>
      <c r="B97" s="1">
        <v>40</v>
      </c>
      <c r="C97" s="425">
        <v>25585</v>
      </c>
      <c r="D97" s="279">
        <v>15035</v>
      </c>
    </row>
    <row r="98" spans="1:4" ht="12.75">
      <c r="A98" s="13" t="s">
        <v>752</v>
      </c>
      <c r="B98" s="1"/>
      <c r="C98" s="625">
        <f>C96+C97</f>
        <v>-12390</v>
      </c>
      <c r="D98" s="626">
        <f>D96+D97</f>
        <v>-21485</v>
      </c>
    </row>
    <row r="99" spans="1:4" s="41" customFormat="1" ht="12.75">
      <c r="A99" s="53" t="s">
        <v>753</v>
      </c>
      <c r="B99" s="54"/>
      <c r="C99" s="428">
        <f>C91+C92+C93+C94+C95+C98</f>
        <v>141171</v>
      </c>
      <c r="D99" s="291">
        <f>D91+D92+D93+D94+D95+D98</f>
        <v>148136</v>
      </c>
    </row>
    <row r="100" spans="1:4" ht="12.75">
      <c r="A100" s="13" t="s">
        <v>754</v>
      </c>
      <c r="B100" s="1"/>
      <c r="C100" s="425">
        <f>C101+C102</f>
        <v>9</v>
      </c>
      <c r="D100" s="279">
        <f>D101+D102</f>
        <v>0</v>
      </c>
    </row>
    <row r="101" spans="1:4" ht="12.75">
      <c r="A101" s="13" t="s">
        <v>755</v>
      </c>
      <c r="B101" s="1">
        <v>41</v>
      </c>
      <c r="C101" s="425">
        <v>25</v>
      </c>
      <c r="D101" s="279">
        <v>0</v>
      </c>
    </row>
    <row r="102" spans="1:4" ht="12.75">
      <c r="A102" s="13" t="s">
        <v>756</v>
      </c>
      <c r="B102" s="1">
        <v>42</v>
      </c>
      <c r="C102" s="625">
        <v>-16</v>
      </c>
      <c r="D102" s="279">
        <v>0</v>
      </c>
    </row>
    <row r="103" spans="1:4" s="41" customFormat="1" ht="12.75" customHeight="1">
      <c r="A103" s="53" t="s">
        <v>757</v>
      </c>
      <c r="B103" s="54"/>
      <c r="C103" s="428">
        <f>C99+C100</f>
        <v>141180</v>
      </c>
      <c r="D103" s="291">
        <f>D99+D100</f>
        <v>148136</v>
      </c>
    </row>
    <row r="104" spans="1:4" ht="12.75">
      <c r="A104" s="13" t="s">
        <v>758</v>
      </c>
      <c r="B104" s="1">
        <v>43</v>
      </c>
      <c r="C104" s="625">
        <v>-44654</v>
      </c>
      <c r="D104" s="626">
        <v>-46563</v>
      </c>
    </row>
    <row r="105" spans="1:4" ht="12.75">
      <c r="A105" s="13" t="s">
        <v>759</v>
      </c>
      <c r="B105" s="1">
        <v>44</v>
      </c>
      <c r="C105" s="425">
        <v>0</v>
      </c>
      <c r="D105" s="279">
        <v>0</v>
      </c>
    </row>
    <row r="106" spans="1:4" s="41" customFormat="1" ht="13.5" thickBot="1">
      <c r="A106" s="55" t="s">
        <v>760</v>
      </c>
      <c r="B106" s="52"/>
      <c r="C106" s="426">
        <f>C103+C104</f>
        <v>96526</v>
      </c>
      <c r="D106" s="288">
        <f>D103+D104</f>
        <v>101573</v>
      </c>
    </row>
    <row r="107" spans="1:5" ht="9.75" customHeight="1" thickBot="1" thickTop="1">
      <c r="A107" s="3"/>
      <c r="B107" s="25"/>
      <c r="C107" s="25"/>
      <c r="D107" s="285"/>
      <c r="E107" s="285"/>
    </row>
    <row r="108" spans="1:4" s="41" customFormat="1" ht="13.5" thickTop="1">
      <c r="A108" s="137" t="s">
        <v>761</v>
      </c>
      <c r="B108" s="56"/>
      <c r="C108" s="430">
        <f>C106</f>
        <v>96526</v>
      </c>
      <c r="D108" s="292">
        <v>101573</v>
      </c>
    </row>
    <row r="109" spans="1:4" s="41" customFormat="1" ht="12.75">
      <c r="A109" s="138" t="s">
        <v>762</v>
      </c>
      <c r="B109" s="54"/>
      <c r="C109" s="428">
        <v>13200000</v>
      </c>
      <c r="D109" s="291">
        <v>13200000</v>
      </c>
    </row>
    <row r="110" spans="1:4" s="41" customFormat="1" ht="13.5" thickBot="1">
      <c r="A110" s="139" t="s">
        <v>712</v>
      </c>
      <c r="B110" s="2">
        <v>45</v>
      </c>
      <c r="C110" s="431">
        <f>C108/C109*1000</f>
        <v>7.3125757575757575</v>
      </c>
      <c r="D110" s="417">
        <v>7.69</v>
      </c>
    </row>
    <row r="111" spans="1:4" ht="9.75" customHeight="1" thickBot="1" thickTop="1">
      <c r="A111" s="3"/>
      <c r="B111" s="25"/>
      <c r="C111" s="25"/>
      <c r="D111" s="285"/>
    </row>
    <row r="112" spans="1:4" s="41" customFormat="1" ht="13.5" thickTop="1">
      <c r="A112" s="137" t="s">
        <v>763</v>
      </c>
      <c r="B112" s="56"/>
      <c r="C112" s="610">
        <v>15950000</v>
      </c>
      <c r="D112" s="292">
        <v>13200000</v>
      </c>
    </row>
    <row r="113" spans="1:4" s="41" customFormat="1" ht="13.5" thickBot="1">
      <c r="A113" s="139" t="s">
        <v>764</v>
      </c>
      <c r="B113" s="52"/>
      <c r="C113" s="611">
        <v>6.05</v>
      </c>
      <c r="D113" s="417">
        <v>7.69</v>
      </c>
    </row>
    <row r="114" spans="1:5" ht="9" customHeight="1" thickTop="1">
      <c r="A114" s="3"/>
      <c r="B114" s="25"/>
      <c r="C114" s="25"/>
      <c r="D114" s="285"/>
      <c r="E114" s="285"/>
    </row>
    <row r="115" spans="1:5" s="60" customFormat="1" ht="18" customHeight="1" thickBot="1">
      <c r="A115" s="95" t="s">
        <v>765</v>
      </c>
      <c r="B115" s="96"/>
      <c r="C115" s="96"/>
      <c r="D115" s="293"/>
      <c r="E115" s="432"/>
    </row>
    <row r="116" spans="1:5" ht="37.5" customHeight="1" thickTop="1">
      <c r="A116" s="154"/>
      <c r="B116" s="161" t="s">
        <v>735</v>
      </c>
      <c r="C116" s="427" t="s">
        <v>5</v>
      </c>
      <c r="D116" s="290" t="s">
        <v>4</v>
      </c>
      <c r="E116" s="8"/>
    </row>
    <row r="117" spans="1:4" s="57" customFormat="1" ht="12" customHeight="1">
      <c r="A117" s="119" t="s">
        <v>766</v>
      </c>
      <c r="B117" s="114"/>
      <c r="C117" s="433">
        <f>C120</f>
        <v>512594</v>
      </c>
      <c r="D117" s="294">
        <f>D120</f>
        <v>339532</v>
      </c>
    </row>
    <row r="118" spans="1:4" s="12" customFormat="1" ht="12" customHeight="1">
      <c r="A118" s="120" t="s">
        <v>767</v>
      </c>
      <c r="B118" s="115"/>
      <c r="C118" s="434">
        <v>0</v>
      </c>
      <c r="D118" s="295">
        <v>0</v>
      </c>
    </row>
    <row r="119" spans="1:4" s="12" customFormat="1" ht="12" customHeight="1">
      <c r="A119" s="120" t="s">
        <v>768</v>
      </c>
      <c r="B119" s="115"/>
      <c r="C119" s="434">
        <v>0</v>
      </c>
      <c r="D119" s="295">
        <v>0</v>
      </c>
    </row>
    <row r="120" spans="1:4" s="57" customFormat="1" ht="24">
      <c r="A120" s="119" t="s">
        <v>769</v>
      </c>
      <c r="B120" s="114"/>
      <c r="C120" s="435">
        <f>C121+C128+C133+C144+C150+C157+C162+C169</f>
        <v>512594</v>
      </c>
      <c r="D120" s="348">
        <f>D121+D128+D133+D144+D150+D157+D162+D169</f>
        <v>339532</v>
      </c>
    </row>
    <row r="121" spans="1:4" s="12" customFormat="1" ht="12" customHeight="1">
      <c r="A121" s="119" t="s">
        <v>770</v>
      </c>
      <c r="B121" s="115"/>
      <c r="C121" s="436">
        <v>132000</v>
      </c>
      <c r="D121" s="350">
        <v>107000</v>
      </c>
    </row>
    <row r="122" spans="1:4" s="12" customFormat="1" ht="12" customHeight="1">
      <c r="A122" s="120" t="s">
        <v>795</v>
      </c>
      <c r="B122" s="115"/>
      <c r="C122" s="434">
        <f>C123-C125</f>
        <v>0</v>
      </c>
      <c r="D122" s="295">
        <f>D123-D125</f>
        <v>25000</v>
      </c>
    </row>
    <row r="123" spans="1:4" s="12" customFormat="1" ht="12" customHeight="1">
      <c r="A123" s="120" t="s">
        <v>796</v>
      </c>
      <c r="B123" s="115"/>
      <c r="C123" s="434">
        <f>C124</f>
        <v>0</v>
      </c>
      <c r="D123" s="295">
        <f>D124</f>
        <v>25000</v>
      </c>
    </row>
    <row r="124" spans="1:4" s="12" customFormat="1" ht="12" customHeight="1">
      <c r="A124" s="111" t="s">
        <v>797</v>
      </c>
      <c r="B124" s="115"/>
      <c r="C124" s="434">
        <v>0</v>
      </c>
      <c r="D124" s="295">
        <v>25000</v>
      </c>
    </row>
    <row r="125" spans="1:4" s="12" customFormat="1" ht="12" customHeight="1">
      <c r="A125" s="120" t="s">
        <v>798</v>
      </c>
      <c r="B125" s="115"/>
      <c r="C125" s="434">
        <v>0</v>
      </c>
      <c r="D125" s="295">
        <v>0</v>
      </c>
    </row>
    <row r="126" spans="1:4" s="12" customFormat="1" ht="12" customHeight="1">
      <c r="A126" s="120" t="s">
        <v>799</v>
      </c>
      <c r="B126" s="115"/>
      <c r="C126" s="434">
        <v>0</v>
      </c>
      <c r="D126" s="295">
        <v>0</v>
      </c>
    </row>
    <row r="127" spans="1:4" s="12" customFormat="1" ht="12" customHeight="1">
      <c r="A127" s="119" t="s">
        <v>800</v>
      </c>
      <c r="B127" s="114"/>
      <c r="C127" s="433">
        <f>C121+C122</f>
        <v>132000</v>
      </c>
      <c r="D127" s="294">
        <f>D121+D122</f>
        <v>132000</v>
      </c>
    </row>
    <row r="128" spans="1:4" s="12" customFormat="1" ht="12" customHeight="1">
      <c r="A128" s="119" t="s">
        <v>801</v>
      </c>
      <c r="B128" s="115"/>
      <c r="C128" s="436">
        <v>0</v>
      </c>
      <c r="D128" s="350">
        <v>0</v>
      </c>
    </row>
    <row r="129" spans="1:4" s="12" customFormat="1" ht="12" customHeight="1">
      <c r="A129" s="120" t="s">
        <v>802</v>
      </c>
      <c r="B129" s="115"/>
      <c r="C129" s="434">
        <v>0</v>
      </c>
      <c r="D129" s="295">
        <v>0</v>
      </c>
    </row>
    <row r="130" spans="1:4" s="12" customFormat="1" ht="12" customHeight="1">
      <c r="A130" s="120" t="s">
        <v>803</v>
      </c>
      <c r="B130" s="115"/>
      <c r="C130" s="434">
        <v>0</v>
      </c>
      <c r="D130" s="295">
        <v>0</v>
      </c>
    </row>
    <row r="131" spans="1:4" s="57" customFormat="1" ht="12" customHeight="1">
      <c r="A131" s="120" t="s">
        <v>804</v>
      </c>
      <c r="B131" s="115"/>
      <c r="C131" s="434">
        <v>0</v>
      </c>
      <c r="D131" s="295">
        <v>0</v>
      </c>
    </row>
    <row r="132" spans="1:4" s="12" customFormat="1" ht="12" customHeight="1">
      <c r="A132" s="119" t="s">
        <v>805</v>
      </c>
      <c r="B132" s="114"/>
      <c r="C132" s="433">
        <v>0</v>
      </c>
      <c r="D132" s="294">
        <v>0</v>
      </c>
    </row>
    <row r="133" spans="1:4" s="12" customFormat="1" ht="12" customHeight="1">
      <c r="A133" s="119" t="s">
        <v>806</v>
      </c>
      <c r="B133" s="115"/>
      <c r="C133" s="436">
        <v>264787</v>
      </c>
      <c r="D133" s="350">
        <v>119678</v>
      </c>
    </row>
    <row r="134" spans="1:4" s="12" customFormat="1" ht="12" customHeight="1">
      <c r="A134" s="120" t="s">
        <v>807</v>
      </c>
      <c r="B134" s="115"/>
      <c r="C134" s="434">
        <f>C135-C142</f>
        <v>66872</v>
      </c>
      <c r="D134" s="295">
        <f>D135-D142</f>
        <v>145109</v>
      </c>
    </row>
    <row r="135" spans="1:4" s="12" customFormat="1" ht="12" customHeight="1">
      <c r="A135" s="120" t="s">
        <v>796</v>
      </c>
      <c r="B135" s="115"/>
      <c r="C135" s="434">
        <f>SUM(C136:C141)</f>
        <v>66872</v>
      </c>
      <c r="D135" s="295">
        <f>SUM(D136:D141)</f>
        <v>145109</v>
      </c>
    </row>
    <row r="136" spans="1:4" s="57" customFormat="1" ht="12" customHeight="1">
      <c r="A136" s="120" t="s">
        <v>808</v>
      </c>
      <c r="B136" s="115"/>
      <c r="C136" s="434">
        <v>0</v>
      </c>
      <c r="D136" s="295">
        <v>72950</v>
      </c>
    </row>
    <row r="137" spans="1:4" s="12" customFormat="1" ht="12" customHeight="1">
      <c r="A137" s="120" t="s">
        <v>809</v>
      </c>
      <c r="B137" s="115"/>
      <c r="C137" s="434">
        <v>0</v>
      </c>
      <c r="D137" s="295">
        <v>0</v>
      </c>
    </row>
    <row r="138" spans="1:4" s="12" customFormat="1" ht="12" customHeight="1">
      <c r="A138" s="120" t="s">
        <v>810</v>
      </c>
      <c r="B138" s="115"/>
      <c r="C138" s="434">
        <v>66745</v>
      </c>
      <c r="D138" s="295">
        <v>39429</v>
      </c>
    </row>
    <row r="139" spans="1:4" s="12" customFormat="1" ht="12" customHeight="1">
      <c r="A139" s="120" t="s">
        <v>8</v>
      </c>
      <c r="B139" s="115"/>
      <c r="C139" s="434">
        <v>126</v>
      </c>
      <c r="D139" s="295">
        <v>32</v>
      </c>
    </row>
    <row r="140" spans="1:4" s="12" customFormat="1" ht="12" customHeight="1">
      <c r="A140" s="351" t="s">
        <v>9</v>
      </c>
      <c r="B140" s="115"/>
      <c r="C140" s="434">
        <v>0</v>
      </c>
      <c r="D140" s="295">
        <v>32540</v>
      </c>
    </row>
    <row r="141" spans="1:4" s="12" customFormat="1" ht="12" customHeight="1">
      <c r="A141" s="120" t="s">
        <v>524</v>
      </c>
      <c r="B141" s="115"/>
      <c r="C141" s="434">
        <v>1</v>
      </c>
      <c r="D141" s="295">
        <v>158</v>
      </c>
    </row>
    <row r="142" spans="1:4" s="12" customFormat="1" ht="12" customHeight="1">
      <c r="A142" s="120" t="s">
        <v>798</v>
      </c>
      <c r="B142" s="115"/>
      <c r="C142" s="434">
        <v>0</v>
      </c>
      <c r="D142" s="295">
        <v>0</v>
      </c>
    </row>
    <row r="143" spans="1:4" s="12" customFormat="1" ht="12" customHeight="1">
      <c r="A143" s="119" t="s">
        <v>811</v>
      </c>
      <c r="B143" s="114"/>
      <c r="C143" s="433">
        <f>C133+C134</f>
        <v>331659</v>
      </c>
      <c r="D143" s="294">
        <f>D133+D134</f>
        <v>264787</v>
      </c>
    </row>
    <row r="144" spans="1:4" s="12" customFormat="1" ht="12" customHeight="1">
      <c r="A144" s="119" t="s">
        <v>812</v>
      </c>
      <c r="B144" s="115"/>
      <c r="C144" s="437">
        <v>4234</v>
      </c>
      <c r="D144" s="352">
        <v>4266</v>
      </c>
    </row>
    <row r="145" spans="1:4" s="12" customFormat="1" ht="12" customHeight="1">
      <c r="A145" s="120" t="s">
        <v>813</v>
      </c>
      <c r="B145" s="115"/>
      <c r="C145" s="434">
        <f>C146-C147</f>
        <v>-126</v>
      </c>
      <c r="D145" s="295">
        <f>D146-D147</f>
        <v>-32</v>
      </c>
    </row>
    <row r="146" spans="1:4" s="12" customFormat="1" ht="12" customHeight="1">
      <c r="A146" s="120" t="s">
        <v>814</v>
      </c>
      <c r="B146" s="115"/>
      <c r="C146" s="434">
        <v>0</v>
      </c>
      <c r="D146" s="295">
        <v>0</v>
      </c>
    </row>
    <row r="147" spans="1:4" s="12" customFormat="1" ht="12" customHeight="1">
      <c r="A147" s="120" t="s">
        <v>815</v>
      </c>
      <c r="B147" s="115"/>
      <c r="C147" s="434">
        <f>SUM(C148:C148)</f>
        <v>126</v>
      </c>
      <c r="D147" s="295">
        <f>SUM(D148:D148)</f>
        <v>32</v>
      </c>
    </row>
    <row r="148" spans="1:4" s="12" customFormat="1" ht="12" customHeight="1">
      <c r="A148" s="120" t="s">
        <v>816</v>
      </c>
      <c r="B148" s="115"/>
      <c r="C148" s="434">
        <v>126</v>
      </c>
      <c r="D148" s="295">
        <v>32</v>
      </c>
    </row>
    <row r="149" spans="1:4" s="12" customFormat="1" ht="12" customHeight="1">
      <c r="A149" s="119" t="s">
        <v>817</v>
      </c>
      <c r="B149" s="114"/>
      <c r="C149" s="433">
        <f>C144+C145</f>
        <v>4108</v>
      </c>
      <c r="D149" s="294">
        <f>D144+D145</f>
        <v>4234</v>
      </c>
    </row>
    <row r="150" spans="1:4" s="57" customFormat="1" ht="12" customHeight="1">
      <c r="A150" s="119" t="s">
        <v>818</v>
      </c>
      <c r="B150" s="115"/>
      <c r="C150" s="436">
        <v>10000</v>
      </c>
      <c r="D150" s="350">
        <v>35600</v>
      </c>
    </row>
    <row r="151" spans="1:4" s="12" customFormat="1" ht="12.75">
      <c r="A151" s="120" t="s">
        <v>819</v>
      </c>
      <c r="B151" s="115"/>
      <c r="C151" s="434">
        <f>C152-C154</f>
        <v>10000</v>
      </c>
      <c r="D151" s="295">
        <f>D152-D154</f>
        <v>-25600</v>
      </c>
    </row>
    <row r="152" spans="1:4" s="12" customFormat="1" ht="12" customHeight="1">
      <c r="A152" s="120" t="s">
        <v>814</v>
      </c>
      <c r="B152" s="115"/>
      <c r="C152" s="434">
        <f>SUM(C153)</f>
        <v>10000</v>
      </c>
      <c r="D152" s="295">
        <f>SUM(D153)</f>
        <v>10000</v>
      </c>
    </row>
    <row r="153" spans="1:4" s="12" customFormat="1" ht="12" customHeight="1">
      <c r="A153" s="120" t="s">
        <v>6</v>
      </c>
      <c r="B153" s="115"/>
      <c r="C153" s="434">
        <v>10000</v>
      </c>
      <c r="D153" s="295">
        <v>10000</v>
      </c>
    </row>
    <row r="154" spans="1:4" s="12" customFormat="1" ht="12" customHeight="1">
      <c r="A154" s="120" t="s">
        <v>815</v>
      </c>
      <c r="B154" s="115"/>
      <c r="C154" s="434">
        <f>C155</f>
        <v>0</v>
      </c>
      <c r="D154" s="295">
        <f>D155</f>
        <v>35600</v>
      </c>
    </row>
    <row r="155" spans="1:4" s="12" customFormat="1" ht="12" customHeight="1">
      <c r="A155" s="120" t="s">
        <v>7</v>
      </c>
      <c r="B155" s="115"/>
      <c r="C155" s="434">
        <v>0</v>
      </c>
      <c r="D155" s="295">
        <v>35600</v>
      </c>
    </row>
    <row r="156" spans="1:4" s="12" customFormat="1" ht="12" customHeight="1">
      <c r="A156" s="119" t="s">
        <v>820</v>
      </c>
      <c r="B156" s="114"/>
      <c r="C156" s="433">
        <f>C150+C151</f>
        <v>20000</v>
      </c>
      <c r="D156" s="294">
        <f>D150+D151</f>
        <v>10000</v>
      </c>
    </row>
    <row r="157" spans="1:4" s="12" customFormat="1" ht="12" customHeight="1">
      <c r="A157" s="119" t="s">
        <v>821</v>
      </c>
      <c r="B157" s="115"/>
      <c r="C157" s="436">
        <v>0</v>
      </c>
      <c r="D157" s="350">
        <v>0</v>
      </c>
    </row>
    <row r="158" spans="1:4" s="12" customFormat="1" ht="12" customHeight="1">
      <c r="A158" s="120" t="s">
        <v>831</v>
      </c>
      <c r="B158" s="115"/>
      <c r="C158" s="434">
        <v>0</v>
      </c>
      <c r="D158" s="295">
        <v>0</v>
      </c>
    </row>
    <row r="159" spans="1:4" s="12" customFormat="1" ht="12" customHeight="1">
      <c r="A159" s="120" t="s">
        <v>814</v>
      </c>
      <c r="B159" s="115"/>
      <c r="C159" s="434">
        <v>0</v>
      </c>
      <c r="D159" s="295">
        <v>0</v>
      </c>
    </row>
    <row r="160" spans="1:4" s="12" customFormat="1" ht="12" customHeight="1">
      <c r="A160" s="120" t="s">
        <v>815</v>
      </c>
      <c r="B160" s="115"/>
      <c r="C160" s="434">
        <v>0</v>
      </c>
      <c r="D160" s="295">
        <v>0</v>
      </c>
    </row>
    <row r="161" spans="1:4" s="57" customFormat="1" ht="12" customHeight="1">
      <c r="A161" s="119" t="s">
        <v>832</v>
      </c>
      <c r="B161" s="114"/>
      <c r="C161" s="433">
        <v>0</v>
      </c>
      <c r="D161" s="294">
        <v>0</v>
      </c>
    </row>
    <row r="162" spans="1:4" s="12" customFormat="1" ht="12" customHeight="1">
      <c r="A162" s="119" t="s">
        <v>925</v>
      </c>
      <c r="B162" s="115"/>
      <c r="C162" s="437">
        <v>0</v>
      </c>
      <c r="D162" s="352">
        <v>158</v>
      </c>
    </row>
    <row r="163" spans="1:4" s="12" customFormat="1" ht="12" customHeight="1">
      <c r="A163" s="120" t="s">
        <v>926</v>
      </c>
      <c r="B163" s="115"/>
      <c r="C163" s="434">
        <f>C164-C165</f>
        <v>0</v>
      </c>
      <c r="D163" s="295">
        <f>D164-D165</f>
        <v>-158</v>
      </c>
    </row>
    <row r="164" spans="1:4" s="12" customFormat="1" ht="12" customHeight="1">
      <c r="A164" s="120" t="s">
        <v>814</v>
      </c>
      <c r="B164" s="115"/>
      <c r="C164" s="434">
        <v>0</v>
      </c>
      <c r="D164" s="295">
        <v>0</v>
      </c>
    </row>
    <row r="165" spans="1:4" s="12" customFormat="1" ht="12" customHeight="1">
      <c r="A165" s="120" t="s">
        <v>798</v>
      </c>
      <c r="B165" s="115"/>
      <c r="C165" s="434">
        <f>C166</f>
        <v>0</v>
      </c>
      <c r="D165" s="295">
        <f>D166</f>
        <v>158</v>
      </c>
    </row>
    <row r="166" spans="1:4" s="12" customFormat="1" ht="12" customHeight="1">
      <c r="A166" s="353" t="s">
        <v>10</v>
      </c>
      <c r="B166" s="115"/>
      <c r="C166" s="434">
        <v>0</v>
      </c>
      <c r="D166" s="295">
        <v>158</v>
      </c>
    </row>
    <row r="167" spans="1:4" s="12" customFormat="1" ht="12" customHeight="1">
      <c r="A167" s="119" t="s">
        <v>927</v>
      </c>
      <c r="B167" s="114"/>
      <c r="C167" s="435">
        <f>C162+C163</f>
        <v>0</v>
      </c>
      <c r="D167" s="348">
        <f>D162+D163</f>
        <v>0</v>
      </c>
    </row>
    <row r="168" spans="1:4" s="12" customFormat="1" ht="12" customHeight="1">
      <c r="A168" s="119" t="s">
        <v>928</v>
      </c>
      <c r="B168" s="115"/>
      <c r="C168" s="437">
        <v>0</v>
      </c>
      <c r="D168" s="352">
        <v>0</v>
      </c>
    </row>
    <row r="169" spans="1:4" s="12" customFormat="1" ht="12" customHeight="1">
      <c r="A169" s="119" t="s">
        <v>929</v>
      </c>
      <c r="B169" s="115"/>
      <c r="C169" s="437">
        <v>101573</v>
      </c>
      <c r="D169" s="352">
        <v>72830</v>
      </c>
    </row>
    <row r="170" spans="1:4" s="12" customFormat="1" ht="12" customHeight="1">
      <c r="A170" s="119" t="s">
        <v>930</v>
      </c>
      <c r="B170" s="114"/>
      <c r="C170" s="436">
        <v>101573</v>
      </c>
      <c r="D170" s="350">
        <v>72830</v>
      </c>
    </row>
    <row r="171" spans="1:4" s="12" customFormat="1" ht="12" customHeight="1">
      <c r="A171" s="120" t="s">
        <v>767</v>
      </c>
      <c r="B171" s="115"/>
      <c r="C171" s="434">
        <v>0</v>
      </c>
      <c r="D171" s="295">
        <v>0</v>
      </c>
    </row>
    <row r="172" spans="1:4" s="57" customFormat="1" ht="12" customHeight="1">
      <c r="A172" s="120" t="s">
        <v>768</v>
      </c>
      <c r="B172" s="115"/>
      <c r="C172" s="434">
        <v>0</v>
      </c>
      <c r="D172" s="295">
        <v>0</v>
      </c>
    </row>
    <row r="173" spans="1:4" s="12" customFormat="1" ht="24" customHeight="1">
      <c r="A173" s="119" t="s">
        <v>931</v>
      </c>
      <c r="B173" s="114"/>
      <c r="C173" s="435">
        <v>101573</v>
      </c>
      <c r="D173" s="348">
        <v>72830</v>
      </c>
    </row>
    <row r="174" spans="1:4" s="12" customFormat="1" ht="12" customHeight="1">
      <c r="A174" s="120" t="s">
        <v>814</v>
      </c>
      <c r="B174" s="115"/>
      <c r="C174" s="434">
        <f>C175</f>
        <v>0</v>
      </c>
      <c r="D174" s="295">
        <f>D175</f>
        <v>0</v>
      </c>
    </row>
    <row r="175" spans="1:4" s="12" customFormat="1" ht="12" customHeight="1">
      <c r="A175" s="120" t="s">
        <v>932</v>
      </c>
      <c r="B175" s="115"/>
      <c r="C175" s="434">
        <v>0</v>
      </c>
      <c r="D175" s="295">
        <v>0</v>
      </c>
    </row>
    <row r="176" spans="1:4" s="12" customFormat="1" ht="12" customHeight="1">
      <c r="A176" s="120" t="s">
        <v>815</v>
      </c>
      <c r="B176" s="115"/>
      <c r="C176" s="434">
        <f>C177</f>
        <v>-101573</v>
      </c>
      <c r="D176" s="295">
        <f>D177</f>
        <v>-72830</v>
      </c>
    </row>
    <row r="177" spans="1:4" s="12" customFormat="1" ht="12" customHeight="1">
      <c r="A177" s="120" t="s">
        <v>932</v>
      </c>
      <c r="B177" s="115"/>
      <c r="C177" s="434">
        <v>-101573</v>
      </c>
      <c r="D177" s="295">
        <v>-72830</v>
      </c>
    </row>
    <row r="178" spans="1:4" s="12" customFormat="1" ht="12" customHeight="1">
      <c r="A178" s="119" t="s">
        <v>933</v>
      </c>
      <c r="B178" s="114"/>
      <c r="C178" s="433">
        <f>C173+C174+C176</f>
        <v>0</v>
      </c>
      <c r="D178" s="294">
        <f>D173+D174+D176</f>
        <v>0</v>
      </c>
    </row>
    <row r="179" spans="1:4" s="12" customFormat="1" ht="12" customHeight="1">
      <c r="A179" s="119" t="s">
        <v>934</v>
      </c>
      <c r="B179" s="114"/>
      <c r="C179" s="433">
        <v>0</v>
      </c>
      <c r="D179" s="294">
        <v>0</v>
      </c>
    </row>
    <row r="180" spans="1:4" s="12" customFormat="1" ht="12" customHeight="1">
      <c r="A180" s="120" t="s">
        <v>767</v>
      </c>
      <c r="B180" s="115"/>
      <c r="C180" s="434">
        <v>0</v>
      </c>
      <c r="D180" s="295">
        <v>0</v>
      </c>
    </row>
    <row r="181" spans="1:4" s="12" customFormat="1" ht="12" customHeight="1">
      <c r="A181" s="120" t="s">
        <v>935</v>
      </c>
      <c r="B181" s="115"/>
      <c r="C181" s="434">
        <v>0</v>
      </c>
      <c r="D181" s="295">
        <v>0</v>
      </c>
    </row>
    <row r="182" spans="1:4" s="12" customFormat="1" ht="23.25" customHeight="1">
      <c r="A182" s="119" t="s">
        <v>936</v>
      </c>
      <c r="B182" s="114"/>
      <c r="C182" s="435">
        <v>0</v>
      </c>
      <c r="D182" s="348">
        <v>0</v>
      </c>
    </row>
    <row r="183" spans="1:4" s="57" customFormat="1" ht="12" customHeight="1">
      <c r="A183" s="120" t="s">
        <v>814</v>
      </c>
      <c r="B183" s="115"/>
      <c r="C183" s="434">
        <v>0</v>
      </c>
      <c r="D183" s="295">
        <v>0</v>
      </c>
    </row>
    <row r="184" spans="1:4" s="12" customFormat="1" ht="12.75" customHeight="1">
      <c r="A184" s="111" t="s">
        <v>937</v>
      </c>
      <c r="B184" s="418"/>
      <c r="C184" s="438">
        <v>0</v>
      </c>
      <c r="D184" s="349">
        <v>0</v>
      </c>
    </row>
    <row r="185" spans="1:4" s="12" customFormat="1" ht="12" customHeight="1">
      <c r="A185" s="120" t="s">
        <v>815</v>
      </c>
      <c r="B185" s="115"/>
      <c r="C185" s="434">
        <v>0</v>
      </c>
      <c r="D185" s="295">
        <v>0</v>
      </c>
    </row>
    <row r="186" spans="1:4" s="12" customFormat="1" ht="12" customHeight="1">
      <c r="A186" s="119" t="s">
        <v>938</v>
      </c>
      <c r="B186" s="114"/>
      <c r="C186" s="433">
        <v>0</v>
      </c>
      <c r="D186" s="294">
        <v>0</v>
      </c>
    </row>
    <row r="187" spans="1:4" s="12" customFormat="1" ht="12" customHeight="1">
      <c r="A187" s="119" t="s">
        <v>939</v>
      </c>
      <c r="B187" s="114"/>
      <c r="C187" s="435">
        <v>0</v>
      </c>
      <c r="D187" s="348">
        <v>0</v>
      </c>
    </row>
    <row r="188" spans="1:4" s="12" customFormat="1" ht="12" customHeight="1">
      <c r="A188" s="119" t="s">
        <v>940</v>
      </c>
      <c r="B188" s="115"/>
      <c r="C188" s="439">
        <f>C189</f>
        <v>96526</v>
      </c>
      <c r="D188" s="441">
        <f>D189</f>
        <v>101573</v>
      </c>
    </row>
    <row r="189" spans="1:4" s="12" customFormat="1" ht="12" customHeight="1">
      <c r="A189" s="120" t="s">
        <v>941</v>
      </c>
      <c r="B189" s="115"/>
      <c r="C189" s="434">
        <v>96526</v>
      </c>
      <c r="D189" s="295">
        <v>101573</v>
      </c>
    </row>
    <row r="190" spans="1:4" s="12" customFormat="1" ht="12" customHeight="1">
      <c r="A190" s="120" t="s">
        <v>942</v>
      </c>
      <c r="B190" s="115"/>
      <c r="C190" s="434">
        <v>0</v>
      </c>
      <c r="D190" s="295">
        <v>0</v>
      </c>
    </row>
    <row r="191" spans="1:4" s="12" customFormat="1" ht="12" customHeight="1" thickBot="1">
      <c r="A191" s="121" t="s">
        <v>943</v>
      </c>
      <c r="B191" s="122"/>
      <c r="C191" s="440">
        <f>C188+C187+C167+C161+C156+C149+C143+C127</f>
        <v>584293</v>
      </c>
      <c r="D191" s="296">
        <f>D188+D187+D167+D161+D156+D149+D143+D127</f>
        <v>512594</v>
      </c>
    </row>
    <row r="192" spans="1:5" s="57" customFormat="1" ht="6.75" customHeight="1" thickTop="1">
      <c r="A192" s="27"/>
      <c r="B192" s="90"/>
      <c r="C192" s="90"/>
      <c r="D192" s="297"/>
      <c r="E192" s="297"/>
    </row>
    <row r="193" spans="1:5" s="60" customFormat="1" ht="22.5" customHeight="1" thickBot="1">
      <c r="A193" s="97" t="s">
        <v>944</v>
      </c>
      <c r="B193" s="66"/>
      <c r="C193" s="66"/>
      <c r="D193" s="298"/>
      <c r="E193" s="298"/>
    </row>
    <row r="194" spans="1:4" ht="36" customHeight="1" thickTop="1">
      <c r="A194" s="154" t="s">
        <v>724</v>
      </c>
      <c r="B194" s="162" t="s">
        <v>945</v>
      </c>
      <c r="C194" s="427" t="s">
        <v>5</v>
      </c>
      <c r="D194" s="290" t="s">
        <v>4</v>
      </c>
    </row>
    <row r="195" spans="1:4" s="41" customFormat="1" ht="24" customHeight="1">
      <c r="A195" s="15" t="s">
        <v>946</v>
      </c>
      <c r="B195" s="118"/>
      <c r="C195" s="488">
        <f>C196+C197</f>
        <v>-250639</v>
      </c>
      <c r="D195" s="442">
        <f>D196+D197</f>
        <v>504801</v>
      </c>
    </row>
    <row r="196" spans="1:4" s="41" customFormat="1" ht="12" customHeight="1">
      <c r="A196" s="15" t="s">
        <v>947</v>
      </c>
      <c r="B196" s="114"/>
      <c r="C196" s="489">
        <v>96526</v>
      </c>
      <c r="D196" s="443">
        <v>101573</v>
      </c>
    </row>
    <row r="197" spans="1:4" s="41" customFormat="1" ht="12" customHeight="1">
      <c r="A197" s="15" t="s">
        <v>948</v>
      </c>
      <c r="B197" s="114"/>
      <c r="C197" s="489">
        <f>SUM(C198:C217)</f>
        <v>-347165</v>
      </c>
      <c r="D197" s="443">
        <f>SUM(D198:D217)</f>
        <v>403228</v>
      </c>
    </row>
    <row r="198" spans="1:4" ht="12" customHeight="1">
      <c r="A198" s="110" t="s">
        <v>949</v>
      </c>
      <c r="B198" s="115"/>
      <c r="C198" s="457">
        <v>10400</v>
      </c>
      <c r="D198" s="354">
        <v>10073</v>
      </c>
    </row>
    <row r="199" spans="1:4" ht="12" customHeight="1">
      <c r="A199" s="110" t="s">
        <v>950</v>
      </c>
      <c r="B199" s="115"/>
      <c r="C199" s="457">
        <v>0</v>
      </c>
      <c r="D199" s="354">
        <v>0</v>
      </c>
    </row>
    <row r="200" spans="1:4" ht="12" customHeight="1">
      <c r="A200" s="110" t="s">
        <v>951</v>
      </c>
      <c r="B200" s="115"/>
      <c r="C200" s="457">
        <v>-365</v>
      </c>
      <c r="D200" s="354">
        <v>-136</v>
      </c>
    </row>
    <row r="201" spans="1:4" ht="12" customHeight="1">
      <c r="A201" s="110" t="s">
        <v>952</v>
      </c>
      <c r="B201" s="115"/>
      <c r="C201" s="457">
        <v>151083</v>
      </c>
      <c r="D201" s="354">
        <v>84726</v>
      </c>
    </row>
    <row r="202" spans="1:4" ht="12" customHeight="1">
      <c r="A202" s="110" t="s">
        <v>953</v>
      </c>
      <c r="B202" s="115"/>
      <c r="C202" s="457">
        <v>1397</v>
      </c>
      <c r="D202" s="354">
        <v>8430</v>
      </c>
    </row>
    <row r="203" spans="1:4" ht="12" customHeight="1">
      <c r="A203" s="110" t="s">
        <v>954</v>
      </c>
      <c r="B203" s="115"/>
      <c r="C203" s="457">
        <v>44654</v>
      </c>
      <c r="D203" s="354">
        <v>46563</v>
      </c>
    </row>
    <row r="204" spans="1:4" ht="12" customHeight="1">
      <c r="A204" s="110" t="s">
        <v>955</v>
      </c>
      <c r="B204" s="115"/>
      <c r="C204" s="457">
        <v>-38131</v>
      </c>
      <c r="D204" s="354">
        <v>-50813</v>
      </c>
    </row>
    <row r="205" spans="1:4" ht="12" customHeight="1">
      <c r="A205" s="110" t="s">
        <v>956</v>
      </c>
      <c r="B205" s="115"/>
      <c r="C205" s="457">
        <v>-149797</v>
      </c>
      <c r="D205" s="354">
        <v>-87527</v>
      </c>
    </row>
    <row r="206" spans="1:4" ht="12" customHeight="1">
      <c r="A206" s="110" t="s">
        <v>957</v>
      </c>
      <c r="B206" s="115"/>
      <c r="C206" s="457">
        <v>-411892</v>
      </c>
      <c r="D206" s="354">
        <v>277837</v>
      </c>
    </row>
    <row r="207" spans="1:4" ht="12.75">
      <c r="A207" s="502" t="s">
        <v>958</v>
      </c>
      <c r="B207" s="115"/>
      <c r="C207" s="490">
        <v>-501752</v>
      </c>
      <c r="D207" s="444">
        <v>-510673</v>
      </c>
    </row>
    <row r="208" spans="1:4" ht="24">
      <c r="A208" s="110" t="s">
        <v>959</v>
      </c>
      <c r="B208" s="115"/>
      <c r="C208" s="490">
        <v>-12736</v>
      </c>
      <c r="D208" s="444">
        <v>0</v>
      </c>
    </row>
    <row r="209" spans="1:4" ht="24" customHeight="1">
      <c r="A209" s="120" t="s">
        <v>674</v>
      </c>
      <c r="B209" s="115"/>
      <c r="C209" s="490">
        <v>1509</v>
      </c>
      <c r="D209" s="444">
        <v>52</v>
      </c>
    </row>
    <row r="210" spans="1:4" ht="12.75">
      <c r="A210" s="110" t="s">
        <v>675</v>
      </c>
      <c r="B210" s="115"/>
      <c r="C210" s="457">
        <v>278548</v>
      </c>
      <c r="D210" s="354">
        <v>-91305</v>
      </c>
    </row>
    <row r="211" spans="1:4" ht="12.75">
      <c r="A211" s="502" t="s">
        <v>676</v>
      </c>
      <c r="B211" s="115"/>
      <c r="C211" s="490">
        <v>223384</v>
      </c>
      <c r="D211" s="444">
        <v>671868</v>
      </c>
    </row>
    <row r="212" spans="1:4" ht="24">
      <c r="A212" s="110" t="s">
        <v>677</v>
      </c>
      <c r="B212" s="115"/>
      <c r="C212" s="490">
        <v>72810</v>
      </c>
      <c r="D212" s="444">
        <v>0</v>
      </c>
    </row>
    <row r="213" spans="1:4" ht="12" customHeight="1">
      <c r="A213" s="110" t="s">
        <v>678</v>
      </c>
      <c r="B213" s="115"/>
      <c r="C213" s="457">
        <v>50999</v>
      </c>
      <c r="D213" s="354">
        <v>52753</v>
      </c>
    </row>
    <row r="214" spans="1:4" ht="12" customHeight="1">
      <c r="A214" s="110" t="s">
        <v>679</v>
      </c>
      <c r="B214" s="115"/>
      <c r="C214" s="457">
        <v>-50910</v>
      </c>
      <c r="D214" s="354">
        <v>-3909</v>
      </c>
    </row>
    <row r="215" spans="1:4" ht="12" customHeight="1">
      <c r="A215" s="110" t="s">
        <v>680</v>
      </c>
      <c r="B215" s="115"/>
      <c r="C215" s="457">
        <v>7039</v>
      </c>
      <c r="D215" s="354">
        <v>-1372</v>
      </c>
    </row>
    <row r="216" spans="1:4" ht="12" customHeight="1">
      <c r="A216" s="110" t="s">
        <v>681</v>
      </c>
      <c r="B216" s="115"/>
      <c r="C216" s="457">
        <v>-13124</v>
      </c>
      <c r="D216" s="354">
        <v>2021</v>
      </c>
    </row>
    <row r="217" spans="1:4" ht="12" customHeight="1">
      <c r="A217" s="110" t="s">
        <v>682</v>
      </c>
      <c r="B217" s="115"/>
      <c r="C217" s="457">
        <v>-10281</v>
      </c>
      <c r="D217" s="354">
        <v>-5360</v>
      </c>
    </row>
    <row r="218" spans="1:4" ht="24" customHeight="1">
      <c r="A218" s="15" t="s">
        <v>960</v>
      </c>
      <c r="B218" s="113"/>
      <c r="C218" s="488">
        <f>C219+C227</f>
        <v>151527</v>
      </c>
      <c r="D218" s="445">
        <f>D219+D227</f>
        <v>-439576</v>
      </c>
    </row>
    <row r="219" spans="1:4" s="41" customFormat="1" ht="12" customHeight="1">
      <c r="A219" s="15" t="s">
        <v>961</v>
      </c>
      <c r="B219" s="116"/>
      <c r="C219" s="491">
        <f>SUM(C220:C226)</f>
        <v>9454736</v>
      </c>
      <c r="D219" s="446">
        <f>SUM(D220:D226)</f>
        <v>6953260</v>
      </c>
    </row>
    <row r="220" spans="1:4" ht="12" customHeight="1">
      <c r="A220" s="110" t="s">
        <v>962</v>
      </c>
      <c r="B220" s="115"/>
      <c r="C220" s="457">
        <v>0</v>
      </c>
      <c r="D220" s="354">
        <v>0</v>
      </c>
    </row>
    <row r="221" spans="1:4" ht="12" customHeight="1">
      <c r="A221" s="110" t="s">
        <v>963</v>
      </c>
      <c r="B221" s="115"/>
      <c r="C221" s="457">
        <v>375</v>
      </c>
      <c r="D221" s="354">
        <v>158</v>
      </c>
    </row>
    <row r="222" spans="1:4" ht="12" customHeight="1">
      <c r="A222" s="110" t="s">
        <v>964</v>
      </c>
      <c r="B222" s="115"/>
      <c r="C222" s="457">
        <v>0</v>
      </c>
      <c r="D222" s="354">
        <v>0</v>
      </c>
    </row>
    <row r="223" spans="1:4" ht="12" customHeight="1">
      <c r="A223" s="110" t="s">
        <v>965</v>
      </c>
      <c r="B223" s="115"/>
      <c r="C223" s="457">
        <v>0</v>
      </c>
      <c r="D223" s="354">
        <v>0</v>
      </c>
    </row>
    <row r="224" spans="1:4" ht="12" customHeight="1">
      <c r="A224" s="110" t="s">
        <v>966</v>
      </c>
      <c r="B224" s="115"/>
      <c r="C224" s="457">
        <v>0</v>
      </c>
      <c r="D224" s="354">
        <v>0</v>
      </c>
    </row>
    <row r="225" spans="1:4" ht="36">
      <c r="A225" s="110" t="s">
        <v>967</v>
      </c>
      <c r="B225" s="115"/>
      <c r="C225" s="492">
        <v>9449871</v>
      </c>
      <c r="D225" s="444">
        <v>6952966</v>
      </c>
    </row>
    <row r="226" spans="1:4" ht="12" customHeight="1">
      <c r="A226" s="110" t="s">
        <v>968</v>
      </c>
      <c r="B226" s="117"/>
      <c r="C226" s="493">
        <v>4490</v>
      </c>
      <c r="D226" s="447">
        <v>136</v>
      </c>
    </row>
    <row r="227" spans="1:4" s="41" customFormat="1" ht="12" customHeight="1">
      <c r="A227" s="15" t="s">
        <v>969</v>
      </c>
      <c r="B227" s="114"/>
      <c r="C227" s="489">
        <f>SUM(C228:C235)</f>
        <v>-9303209</v>
      </c>
      <c r="D227" s="443">
        <f>SUM(D228:D235)</f>
        <v>-7392836</v>
      </c>
    </row>
    <row r="228" spans="1:4" ht="12" customHeight="1">
      <c r="A228" s="110" t="s">
        <v>970</v>
      </c>
      <c r="B228" s="115"/>
      <c r="C228" s="457">
        <v>-2638</v>
      </c>
      <c r="D228" s="354">
        <v>-2721</v>
      </c>
    </row>
    <row r="229" spans="1:4" ht="12" customHeight="1">
      <c r="A229" s="111" t="s">
        <v>971</v>
      </c>
      <c r="B229" s="115"/>
      <c r="C229" s="457">
        <v>-16241</v>
      </c>
      <c r="D229" s="354">
        <v>-36108</v>
      </c>
    </row>
    <row r="230" spans="1:4" ht="12" customHeight="1">
      <c r="A230" s="110" t="s">
        <v>972</v>
      </c>
      <c r="B230" s="115"/>
      <c r="C230" s="457">
        <v>-5000</v>
      </c>
      <c r="D230" s="354">
        <v>-3000</v>
      </c>
    </row>
    <row r="231" spans="1:4" ht="12" customHeight="1">
      <c r="A231" s="110" t="s">
        <v>973</v>
      </c>
      <c r="B231" s="115"/>
      <c r="C231" s="457">
        <v>-15712</v>
      </c>
      <c r="D231" s="354">
        <v>-277</v>
      </c>
    </row>
    <row r="232" spans="1:4" ht="12" customHeight="1">
      <c r="A232" s="110" t="s">
        <v>974</v>
      </c>
      <c r="B232" s="115"/>
      <c r="C232" s="457">
        <v>0</v>
      </c>
      <c r="D232" s="354">
        <v>0</v>
      </c>
    </row>
    <row r="233" spans="1:4" ht="36" customHeight="1">
      <c r="A233" s="110" t="s">
        <v>975</v>
      </c>
      <c r="B233" s="115"/>
      <c r="C233" s="490">
        <v>-9263618</v>
      </c>
      <c r="D233" s="444">
        <v>-7350730</v>
      </c>
    </row>
    <row r="234" spans="1:4" ht="12" customHeight="1">
      <c r="A234" s="110" t="s">
        <v>976</v>
      </c>
      <c r="B234" s="115"/>
      <c r="C234" s="457">
        <v>0</v>
      </c>
      <c r="D234" s="354">
        <v>0</v>
      </c>
    </row>
    <row r="235" spans="1:4" ht="12" customHeight="1">
      <c r="A235" s="110" t="s">
        <v>977</v>
      </c>
      <c r="B235" s="115"/>
      <c r="C235" s="457">
        <v>0</v>
      </c>
      <c r="D235" s="354">
        <v>0</v>
      </c>
    </row>
    <row r="236" spans="1:4" ht="25.5" customHeight="1">
      <c r="A236" s="15" t="s">
        <v>978</v>
      </c>
      <c r="B236" s="117"/>
      <c r="C236" s="494">
        <f>C237+C245</f>
        <v>-24644</v>
      </c>
      <c r="D236" s="352">
        <f>D237+D245</f>
        <v>74900</v>
      </c>
    </row>
    <row r="237" spans="1:4" s="41" customFormat="1" ht="12" customHeight="1">
      <c r="A237" s="15" t="s">
        <v>979</v>
      </c>
      <c r="B237" s="116"/>
      <c r="C237" s="491">
        <f>SUM(C238:C244)</f>
        <v>0</v>
      </c>
      <c r="D237" s="446">
        <f>SUM(D238:D244)</f>
        <v>97950</v>
      </c>
    </row>
    <row r="238" spans="1:4" ht="12" customHeight="1">
      <c r="A238" s="110" t="s">
        <v>980</v>
      </c>
      <c r="B238" s="115"/>
      <c r="C238" s="457">
        <v>0</v>
      </c>
      <c r="D238" s="354">
        <v>0</v>
      </c>
    </row>
    <row r="239" spans="1:4" ht="12" customHeight="1">
      <c r="A239" s="502" t="s">
        <v>981</v>
      </c>
      <c r="B239" s="115"/>
      <c r="C239" s="490">
        <v>0</v>
      </c>
      <c r="D239" s="444">
        <v>0</v>
      </c>
    </row>
    <row r="240" spans="1:4" ht="24" customHeight="1">
      <c r="A240" s="110" t="s">
        <v>982</v>
      </c>
      <c r="B240" s="115"/>
      <c r="C240" s="490">
        <v>0</v>
      </c>
      <c r="D240" s="444">
        <v>0</v>
      </c>
    </row>
    <row r="241" spans="1:4" ht="12" customHeight="1">
      <c r="A241" s="110" t="s">
        <v>987</v>
      </c>
      <c r="B241" s="115"/>
      <c r="C241" s="457">
        <v>0</v>
      </c>
      <c r="D241" s="444">
        <v>0</v>
      </c>
    </row>
    <row r="242" spans="1:4" ht="12" customHeight="1">
      <c r="A242" s="110" t="s">
        <v>988</v>
      </c>
      <c r="B242" s="115"/>
      <c r="C242" s="457">
        <v>0</v>
      </c>
      <c r="D242" s="444">
        <v>97950</v>
      </c>
    </row>
    <row r="243" spans="1:4" ht="12" customHeight="1">
      <c r="A243" s="110" t="s">
        <v>989</v>
      </c>
      <c r="B243" s="115"/>
      <c r="C243" s="457">
        <v>0</v>
      </c>
      <c r="D243" s="354">
        <v>0</v>
      </c>
    </row>
    <row r="244" spans="1:4" ht="12" customHeight="1">
      <c r="A244" s="110" t="s">
        <v>968</v>
      </c>
      <c r="B244" s="117"/>
      <c r="C244" s="457">
        <v>0</v>
      </c>
      <c r="D244" s="448">
        <v>0</v>
      </c>
    </row>
    <row r="245" spans="1:4" s="41" customFormat="1" ht="12" customHeight="1">
      <c r="A245" s="15" t="s">
        <v>990</v>
      </c>
      <c r="B245" s="114"/>
      <c r="C245" s="489">
        <f>SUM(C246:C256)</f>
        <v>-24644</v>
      </c>
      <c r="D245" s="443">
        <f>SUM(D246:D256)</f>
        <v>-23050</v>
      </c>
    </row>
    <row r="246" spans="1:4" ht="12" customHeight="1">
      <c r="A246" s="110" t="s">
        <v>991</v>
      </c>
      <c r="B246" s="115"/>
      <c r="C246" s="457">
        <v>0</v>
      </c>
      <c r="D246" s="354">
        <v>0</v>
      </c>
    </row>
    <row r="247" spans="1:4" ht="24" customHeight="1">
      <c r="A247" s="110" t="s">
        <v>992</v>
      </c>
      <c r="B247" s="115"/>
      <c r="C247" s="490">
        <v>0</v>
      </c>
      <c r="D247" s="444">
        <v>0</v>
      </c>
    </row>
    <row r="248" spans="1:4" ht="24">
      <c r="A248" s="110" t="s">
        <v>993</v>
      </c>
      <c r="B248" s="115"/>
      <c r="C248" s="490">
        <v>0</v>
      </c>
      <c r="D248" s="444">
        <v>0</v>
      </c>
    </row>
    <row r="249" spans="1:4" ht="12" customHeight="1">
      <c r="A249" s="110" t="s">
        <v>994</v>
      </c>
      <c r="B249" s="115"/>
      <c r="C249" s="457">
        <v>0</v>
      </c>
      <c r="D249" s="354">
        <v>0</v>
      </c>
    </row>
    <row r="250" spans="1:4" ht="12" customHeight="1">
      <c r="A250" s="110" t="s">
        <v>995</v>
      </c>
      <c r="B250" s="115"/>
      <c r="C250" s="457">
        <v>0</v>
      </c>
      <c r="D250" s="354">
        <v>0</v>
      </c>
    </row>
    <row r="251" spans="1:4" ht="12" customHeight="1">
      <c r="A251" s="110" t="s">
        <v>996</v>
      </c>
      <c r="B251" s="115"/>
      <c r="C251" s="457">
        <v>0</v>
      </c>
      <c r="D251" s="354">
        <v>0</v>
      </c>
    </row>
    <row r="252" spans="1:4" ht="12" customHeight="1">
      <c r="A252" s="110" t="s">
        <v>997</v>
      </c>
      <c r="B252" s="115"/>
      <c r="C252" s="457">
        <v>-19800</v>
      </c>
      <c r="D252" s="354">
        <v>-19800</v>
      </c>
    </row>
    <row r="253" spans="1:4" ht="12" customHeight="1">
      <c r="A253" s="110" t="s">
        <v>998</v>
      </c>
      <c r="B253" s="115"/>
      <c r="C253" s="457">
        <v>-224</v>
      </c>
      <c r="D253" s="354">
        <v>-153</v>
      </c>
    </row>
    <row r="254" spans="1:4" ht="12" customHeight="1">
      <c r="A254" s="110" t="s">
        <v>999</v>
      </c>
      <c r="B254" s="115"/>
      <c r="C254" s="457">
        <v>-354</v>
      </c>
      <c r="D254" s="354">
        <v>-136</v>
      </c>
    </row>
    <row r="255" spans="1:4" ht="12" customHeight="1">
      <c r="A255" s="110" t="s">
        <v>1000</v>
      </c>
      <c r="B255" s="115"/>
      <c r="C255" s="457">
        <v>0</v>
      </c>
      <c r="D255" s="354">
        <v>0</v>
      </c>
    </row>
    <row r="256" spans="1:4" ht="12" customHeight="1">
      <c r="A256" s="110" t="s">
        <v>1001</v>
      </c>
      <c r="B256" s="115"/>
      <c r="C256" s="457">
        <v>-4266</v>
      </c>
      <c r="D256" s="354">
        <v>-2961</v>
      </c>
    </row>
    <row r="257" spans="1:4" ht="12" customHeight="1">
      <c r="A257" s="15" t="s">
        <v>1002</v>
      </c>
      <c r="B257" s="14"/>
      <c r="C257" s="488">
        <f>C195+C218+C236</f>
        <v>-123756</v>
      </c>
      <c r="D257" s="449">
        <f>D195+D218+D236</f>
        <v>140125</v>
      </c>
    </row>
    <row r="258" spans="1:4" ht="12.75" customHeight="1">
      <c r="A258" s="15" t="s">
        <v>1003</v>
      </c>
      <c r="B258" s="14"/>
      <c r="C258" s="488">
        <f>C257</f>
        <v>-123756</v>
      </c>
      <c r="D258" s="449">
        <f>D257</f>
        <v>140125</v>
      </c>
    </row>
    <row r="259" spans="1:4" ht="24" customHeight="1">
      <c r="A259" s="18" t="s">
        <v>1004</v>
      </c>
      <c r="B259" s="19"/>
      <c r="C259" s="488">
        <v>-495</v>
      </c>
      <c r="D259" s="449">
        <v>7422</v>
      </c>
    </row>
    <row r="260" spans="1:4" ht="12" customHeight="1">
      <c r="A260" s="18" t="s">
        <v>1005</v>
      </c>
      <c r="B260" s="19"/>
      <c r="C260" s="488">
        <v>215283</v>
      </c>
      <c r="D260" s="449">
        <v>75158</v>
      </c>
    </row>
    <row r="261" spans="1:4" ht="12" customHeight="1" thickBot="1">
      <c r="A261" s="16" t="s">
        <v>1006</v>
      </c>
      <c r="B261" s="17"/>
      <c r="C261" s="495">
        <f>SUM(C258+C260)</f>
        <v>91527</v>
      </c>
      <c r="D261" s="450">
        <f>SUM(D258+D260)</f>
        <v>215283</v>
      </c>
    </row>
    <row r="262" spans="1:5" s="60" customFormat="1" ht="12.75" customHeight="1" thickTop="1">
      <c r="A262" s="135"/>
      <c r="B262" s="136"/>
      <c r="C262" s="136"/>
      <c r="D262" s="301"/>
      <c r="E262" s="301"/>
    </row>
    <row r="263" spans="1:5" s="60" customFormat="1" ht="12.75" customHeight="1">
      <c r="A263" s="135"/>
      <c r="B263" s="136"/>
      <c r="C263" s="136"/>
      <c r="D263" s="301"/>
      <c r="E263" s="301"/>
    </row>
    <row r="264" spans="1:5" s="60" customFormat="1" ht="16.5" customHeight="1">
      <c r="A264" s="135"/>
      <c r="B264" s="136"/>
      <c r="C264" s="136"/>
      <c r="D264" s="301"/>
      <c r="E264" s="301"/>
    </row>
    <row r="265" spans="1:5" s="60" customFormat="1" ht="18.75">
      <c r="A265" s="98" t="s">
        <v>717</v>
      </c>
      <c r="B265" s="99"/>
      <c r="C265" s="99"/>
      <c r="D265" s="302"/>
      <c r="E265" s="302"/>
    </row>
    <row r="266" spans="1:5" s="60" customFormat="1" ht="6.75" customHeight="1">
      <c r="A266" s="155"/>
      <c r="B266" s="99"/>
      <c r="C266" s="99"/>
      <c r="D266" s="302"/>
      <c r="E266" s="302"/>
    </row>
    <row r="267" spans="1:5" s="60" customFormat="1" ht="9" customHeight="1">
      <c r="A267" s="68"/>
      <c r="B267" s="67"/>
      <c r="C267" s="67"/>
      <c r="D267" s="303"/>
      <c r="E267" s="303"/>
    </row>
    <row r="268" spans="1:5" s="60" customFormat="1" ht="17.25" thickBot="1">
      <c r="A268" s="69" t="s">
        <v>1007</v>
      </c>
      <c r="B268" s="59"/>
      <c r="C268" s="59"/>
      <c r="D268" s="303"/>
      <c r="E268" s="303"/>
    </row>
    <row r="269" spans="1:4" ht="22.5" customHeight="1" thickTop="1">
      <c r="A269" s="4" t="s">
        <v>1008</v>
      </c>
      <c r="B269" s="5"/>
      <c r="C269" s="451" t="s">
        <v>2</v>
      </c>
      <c r="D269" s="305" t="s">
        <v>1</v>
      </c>
    </row>
    <row r="270" spans="1:4" ht="12" customHeight="1">
      <c r="A270" s="70" t="s">
        <v>1010</v>
      </c>
      <c r="B270" s="71"/>
      <c r="C270" s="452">
        <v>78417</v>
      </c>
      <c r="D270" s="354">
        <v>207385</v>
      </c>
    </row>
    <row r="271" spans="1:4" ht="12" customHeight="1">
      <c r="A271" s="70" t="s">
        <v>1011</v>
      </c>
      <c r="B271" s="71"/>
      <c r="C271" s="452">
        <v>0</v>
      </c>
      <c r="D271" s="354">
        <v>0</v>
      </c>
    </row>
    <row r="272" spans="1:4" ht="12" customHeight="1">
      <c r="A272" s="70" t="s">
        <v>1012</v>
      </c>
      <c r="B272" s="71"/>
      <c r="C272" s="452">
        <v>0</v>
      </c>
      <c r="D272" s="354">
        <v>0</v>
      </c>
    </row>
    <row r="273" spans="1:4" ht="12" customHeight="1">
      <c r="A273" s="70" t="s">
        <v>1013</v>
      </c>
      <c r="B273" s="71"/>
      <c r="C273" s="452">
        <v>83</v>
      </c>
      <c r="D273" s="354">
        <v>62</v>
      </c>
    </row>
    <row r="274" spans="1:4" s="41" customFormat="1" ht="12" customHeight="1" thickBot="1">
      <c r="A274" s="72" t="s">
        <v>1014</v>
      </c>
      <c r="B274" s="73"/>
      <c r="C274" s="426">
        <f>SUM(C270:C273)</f>
        <v>78500</v>
      </c>
      <c r="D274" s="288">
        <f>SUM(D270:D273)</f>
        <v>207447</v>
      </c>
    </row>
    <row r="275" spans="1:5" s="41" customFormat="1" ht="14.25" thickBot="1" thickTop="1">
      <c r="A275" s="77"/>
      <c r="B275" s="100"/>
      <c r="C275" s="100"/>
      <c r="D275" s="306"/>
      <c r="E275" s="306"/>
    </row>
    <row r="276" spans="1:4" ht="24.75" customHeight="1" thickTop="1">
      <c r="A276" s="361" t="s">
        <v>1015</v>
      </c>
      <c r="B276" s="453"/>
      <c r="C276" s="304" t="s">
        <v>2</v>
      </c>
      <c r="D276" s="305" t="s">
        <v>1</v>
      </c>
    </row>
    <row r="277" spans="1:4" s="41" customFormat="1" ht="12" customHeight="1">
      <c r="A277" s="101" t="s">
        <v>1016</v>
      </c>
      <c r="B277" s="355"/>
      <c r="C277" s="307">
        <v>70050</v>
      </c>
      <c r="D277" s="308">
        <v>195299</v>
      </c>
    </row>
    <row r="278" spans="1:4" s="41" customFormat="1" ht="12" customHeight="1">
      <c r="A278" s="101" t="s">
        <v>1017</v>
      </c>
      <c r="B278" s="356"/>
      <c r="C278" s="307">
        <f>SUM(C280+C284+C286+C288+C290+C292+C294+C295+C282)</f>
        <v>8450</v>
      </c>
      <c r="D278" s="308">
        <f>SUM(D280+D284+D286+D288+D290+D292+D294+D295+D282)</f>
        <v>12148</v>
      </c>
    </row>
    <row r="279" spans="1:4" s="41" customFormat="1" ht="12" customHeight="1">
      <c r="A279" s="102" t="s">
        <v>12</v>
      </c>
      <c r="B279" s="105"/>
      <c r="C279" s="309">
        <v>1330</v>
      </c>
      <c r="D279" s="454">
        <v>1995</v>
      </c>
    </row>
    <row r="280" spans="1:4" s="41" customFormat="1" ht="12" customHeight="1">
      <c r="A280" s="102" t="s">
        <v>1018</v>
      </c>
      <c r="B280" s="105"/>
      <c r="C280" s="309">
        <v>5517</v>
      </c>
      <c r="D280" s="454">
        <v>6989</v>
      </c>
    </row>
    <row r="281" spans="1:4" s="41" customFormat="1" ht="12" customHeight="1">
      <c r="A281" s="102" t="s">
        <v>771</v>
      </c>
      <c r="B281" s="105"/>
      <c r="C281" s="309">
        <v>6</v>
      </c>
      <c r="D281" s="454">
        <v>1</v>
      </c>
    </row>
    <row r="282" spans="1:4" s="41" customFormat="1" ht="12" customHeight="1">
      <c r="A282" s="102" t="s">
        <v>1018</v>
      </c>
      <c r="B282" s="105"/>
      <c r="C282" s="309">
        <v>17</v>
      </c>
      <c r="D282" s="454">
        <v>2</v>
      </c>
    </row>
    <row r="283" spans="1:4" s="41" customFormat="1" ht="12" customHeight="1">
      <c r="A283" s="102" t="s">
        <v>772</v>
      </c>
      <c r="B283" s="105"/>
      <c r="C283" s="309">
        <v>82</v>
      </c>
      <c r="D283" s="454">
        <v>107</v>
      </c>
    </row>
    <row r="284" spans="1:4" s="41" customFormat="1" ht="12" customHeight="1">
      <c r="A284" s="102" t="s">
        <v>1018</v>
      </c>
      <c r="B284" s="105"/>
      <c r="C284" s="309">
        <v>553</v>
      </c>
      <c r="D284" s="454">
        <v>621</v>
      </c>
    </row>
    <row r="285" spans="1:4" s="41" customFormat="1" ht="12" customHeight="1">
      <c r="A285" s="102" t="s">
        <v>773</v>
      </c>
      <c r="B285" s="105"/>
      <c r="C285" s="309">
        <v>6</v>
      </c>
      <c r="D285" s="454">
        <v>260</v>
      </c>
    </row>
    <row r="286" spans="1:4" s="41" customFormat="1" ht="12" customHeight="1">
      <c r="A286" s="102" t="s">
        <v>1018</v>
      </c>
      <c r="B286" s="105"/>
      <c r="C286" s="309">
        <v>4</v>
      </c>
      <c r="D286" s="454">
        <v>143</v>
      </c>
    </row>
    <row r="287" spans="1:4" s="41" customFormat="1" ht="12" customHeight="1">
      <c r="A287" s="102" t="s">
        <v>774</v>
      </c>
      <c r="B287" s="105"/>
      <c r="C287" s="309">
        <v>14</v>
      </c>
      <c r="D287" s="454">
        <v>14</v>
      </c>
    </row>
    <row r="288" spans="1:4" s="41" customFormat="1" ht="12" customHeight="1">
      <c r="A288" s="102" t="s">
        <v>1018</v>
      </c>
      <c r="B288" s="105"/>
      <c r="C288" s="309">
        <v>7</v>
      </c>
      <c r="D288" s="454">
        <v>6</v>
      </c>
    </row>
    <row r="289" spans="1:4" s="41" customFormat="1" ht="12" customHeight="1">
      <c r="A289" s="102" t="s">
        <v>775</v>
      </c>
      <c r="B289" s="105"/>
      <c r="C289" s="309">
        <v>53</v>
      </c>
      <c r="D289" s="454">
        <v>35</v>
      </c>
    </row>
    <row r="290" spans="1:4" s="41" customFormat="1" ht="12" customHeight="1">
      <c r="A290" s="102" t="s">
        <v>1018</v>
      </c>
      <c r="B290" s="105"/>
      <c r="C290" s="309">
        <v>137</v>
      </c>
      <c r="D290" s="454">
        <v>90</v>
      </c>
    </row>
    <row r="291" spans="1:4" s="41" customFormat="1" ht="12" customHeight="1">
      <c r="A291" s="102" t="s">
        <v>776</v>
      </c>
      <c r="B291" s="105"/>
      <c r="C291" s="309">
        <v>58</v>
      </c>
      <c r="D291" s="454">
        <v>132</v>
      </c>
    </row>
    <row r="292" spans="1:4" s="41" customFormat="1" ht="12" customHeight="1">
      <c r="A292" s="102" t="s">
        <v>1018</v>
      </c>
      <c r="B292" s="105"/>
      <c r="C292" s="309">
        <v>28</v>
      </c>
      <c r="D292" s="454">
        <v>57</v>
      </c>
    </row>
    <row r="293" spans="1:4" s="41" customFormat="1" ht="12" customHeight="1">
      <c r="A293" s="102" t="s">
        <v>777</v>
      </c>
      <c r="B293" s="105"/>
      <c r="C293" s="309">
        <v>521</v>
      </c>
      <c r="D293" s="454">
        <v>1035</v>
      </c>
    </row>
    <row r="294" spans="1:4" s="60" customFormat="1" ht="12.75" customHeight="1">
      <c r="A294" s="102" t="s">
        <v>1018</v>
      </c>
      <c r="B294" s="105"/>
      <c r="C294" s="309">
        <v>2170</v>
      </c>
      <c r="D294" s="454">
        <v>4236</v>
      </c>
    </row>
    <row r="295" spans="1:4" s="60" customFormat="1" ht="12.75">
      <c r="A295" s="102" t="s">
        <v>778</v>
      </c>
      <c r="B295" s="105"/>
      <c r="C295" s="309">
        <v>17</v>
      </c>
      <c r="D295" s="454">
        <v>4</v>
      </c>
    </row>
    <row r="296" spans="1:4" ht="15.75" customHeight="1" thickBot="1">
      <c r="A296" s="87" t="s">
        <v>1019</v>
      </c>
      <c r="B296" s="358"/>
      <c r="C296" s="283">
        <f>SUM(C277:C278)</f>
        <v>78500</v>
      </c>
      <c r="D296" s="284">
        <f>SUM(D277:D278)</f>
        <v>207447</v>
      </c>
    </row>
    <row r="297" spans="1:5" s="644" customFormat="1" ht="15" customHeight="1" thickTop="1">
      <c r="A297" s="645"/>
      <c r="B297" s="642"/>
      <c r="C297" s="642"/>
      <c r="D297" s="643"/>
      <c r="E297" s="643"/>
    </row>
    <row r="298" spans="1:5" ht="15" customHeight="1" thickBot="1">
      <c r="A298" s="69" t="s">
        <v>1020</v>
      </c>
      <c r="B298" s="59"/>
      <c r="C298" s="59"/>
      <c r="D298" s="310"/>
      <c r="E298" s="310"/>
    </row>
    <row r="299" spans="1:4" ht="24.75" customHeight="1" thickTop="1">
      <c r="A299" s="4" t="s">
        <v>1021</v>
      </c>
      <c r="B299" s="21"/>
      <c r="C299" s="451" t="s">
        <v>2</v>
      </c>
      <c r="D299" s="305" t="s">
        <v>1</v>
      </c>
    </row>
    <row r="300" spans="1:4" ht="12" customHeight="1">
      <c r="A300" s="70" t="s">
        <v>1022</v>
      </c>
      <c r="B300" s="71"/>
      <c r="C300" s="452">
        <v>17837</v>
      </c>
      <c r="D300" s="354">
        <f>7836+1255</f>
        <v>9091</v>
      </c>
    </row>
    <row r="301" spans="1:4" s="41" customFormat="1" ht="12" customHeight="1">
      <c r="A301" s="70" t="s">
        <v>1023</v>
      </c>
      <c r="B301" s="71"/>
      <c r="C301" s="452">
        <v>496207</v>
      </c>
      <c r="D301" s="354">
        <f>102305+51767</f>
        <v>154072</v>
      </c>
    </row>
    <row r="302" spans="1:4" ht="12" customHeight="1">
      <c r="A302" s="70" t="s">
        <v>1024</v>
      </c>
      <c r="B302" s="71"/>
      <c r="C302" s="452">
        <v>7002</v>
      </c>
      <c r="D302" s="354">
        <f>1240+16587</f>
        <v>17827</v>
      </c>
    </row>
    <row r="303" spans="1:4" s="41" customFormat="1" ht="12" customHeight="1">
      <c r="A303" s="70" t="s">
        <v>1025</v>
      </c>
      <c r="B303" s="71"/>
      <c r="C303" s="452">
        <v>0</v>
      </c>
      <c r="D303" s="354">
        <v>0</v>
      </c>
    </row>
    <row r="304" spans="1:4" s="60" customFormat="1" ht="12.75" customHeight="1">
      <c r="A304" s="70" t="s">
        <v>1026</v>
      </c>
      <c r="B304" s="71"/>
      <c r="C304" s="452">
        <f>SUM(C305:C305)</f>
        <v>277</v>
      </c>
      <c r="D304" s="354">
        <v>0</v>
      </c>
    </row>
    <row r="305" spans="1:4" ht="12.75" customHeight="1">
      <c r="A305" s="70" t="s">
        <v>984</v>
      </c>
      <c r="B305" s="71"/>
      <c r="C305" s="452">
        <v>277</v>
      </c>
      <c r="D305" s="354">
        <v>0</v>
      </c>
    </row>
    <row r="306" spans="1:4" ht="12" customHeight="1">
      <c r="A306" s="70" t="s">
        <v>1027</v>
      </c>
      <c r="B306" s="71"/>
      <c r="C306" s="452">
        <f>C307+C308</f>
        <v>9240</v>
      </c>
      <c r="D306" s="354">
        <f>SUM(D307:D308)</f>
        <v>2644</v>
      </c>
    </row>
    <row r="307" spans="1:4" ht="12" customHeight="1">
      <c r="A307" s="70" t="s">
        <v>1028</v>
      </c>
      <c r="B307" s="71"/>
      <c r="C307" s="452">
        <v>9207</v>
      </c>
      <c r="D307" s="354">
        <f>1959+680</f>
        <v>2639</v>
      </c>
    </row>
    <row r="308" spans="1:4" ht="12" customHeight="1">
      <c r="A308" s="70" t="s">
        <v>1029</v>
      </c>
      <c r="B308" s="71"/>
      <c r="C308" s="452">
        <v>33</v>
      </c>
      <c r="D308" s="354">
        <v>5</v>
      </c>
    </row>
    <row r="309" spans="1:4" ht="12" customHeight="1" thickBot="1">
      <c r="A309" s="125" t="s">
        <v>1030</v>
      </c>
      <c r="B309" s="126"/>
      <c r="C309" s="426">
        <f>C300+C301+C302+C303+C304+C306</f>
        <v>530563</v>
      </c>
      <c r="D309" s="291">
        <f>D300+D301+D302+D303+D304+D306</f>
        <v>183634</v>
      </c>
    </row>
    <row r="310" spans="1:4" ht="12" customHeight="1" thickTop="1">
      <c r="A310" s="359" t="s">
        <v>438</v>
      </c>
      <c r="B310" s="75"/>
      <c r="C310" s="651">
        <v>-478</v>
      </c>
      <c r="D310" s="652">
        <f>-338</f>
        <v>-338</v>
      </c>
    </row>
    <row r="311" spans="1:4" ht="12" customHeight="1" thickBot="1">
      <c r="A311" s="270" t="s">
        <v>1031</v>
      </c>
      <c r="B311" s="271"/>
      <c r="C311" s="455">
        <f>C309+C310</f>
        <v>530085</v>
      </c>
      <c r="D311" s="312">
        <f>D309+D310</f>
        <v>183296</v>
      </c>
    </row>
    <row r="312" spans="1:5" ht="12" customHeight="1" thickBot="1" thickTop="1">
      <c r="A312" s="68"/>
      <c r="B312" s="67"/>
      <c r="C312" s="67"/>
      <c r="D312" s="310"/>
      <c r="E312" s="310"/>
    </row>
    <row r="313" spans="1:4" ht="23.25" customHeight="1" thickTop="1">
      <c r="A313" s="127" t="s">
        <v>271</v>
      </c>
      <c r="B313" s="21"/>
      <c r="C313" s="451" t="s">
        <v>2</v>
      </c>
      <c r="D313" s="305" t="s">
        <v>1</v>
      </c>
    </row>
    <row r="314" spans="1:4" ht="12" customHeight="1">
      <c r="A314" s="70" t="s">
        <v>1032</v>
      </c>
      <c r="B314" s="71"/>
      <c r="C314" s="425">
        <v>17837</v>
      </c>
      <c r="D314" s="279">
        <f>7836+1255</f>
        <v>9091</v>
      </c>
    </row>
    <row r="315" spans="1:4" s="41" customFormat="1" ht="12" customHeight="1">
      <c r="A315" s="70" t="s">
        <v>1033</v>
      </c>
      <c r="B315" s="71"/>
      <c r="C315" s="425">
        <f>SUM(C316:C321)</f>
        <v>503486</v>
      </c>
      <c r="D315" s="279">
        <f>SUM(D316:D321)</f>
        <v>171899</v>
      </c>
    </row>
    <row r="316" spans="1:4" s="60" customFormat="1" ht="12.75" customHeight="1">
      <c r="A316" s="70" t="s">
        <v>1034</v>
      </c>
      <c r="B316" s="71"/>
      <c r="C316" s="425">
        <v>191113</v>
      </c>
      <c r="D316" s="279">
        <f>68719+11</f>
        <v>68730</v>
      </c>
    </row>
    <row r="317" spans="1:4" ht="12.75" customHeight="1">
      <c r="A317" s="70" t="s">
        <v>1035</v>
      </c>
      <c r="B317" s="71"/>
      <c r="C317" s="425">
        <v>58809</v>
      </c>
      <c r="D317" s="279">
        <f>33035+154</f>
        <v>33189</v>
      </c>
    </row>
    <row r="318" spans="1:4" ht="12.75">
      <c r="A318" s="70" t="s">
        <v>1036</v>
      </c>
      <c r="B318" s="71"/>
      <c r="C318" s="425">
        <v>164839</v>
      </c>
      <c r="D318" s="279">
        <f>978+12439</f>
        <v>13417</v>
      </c>
    </row>
    <row r="319" spans="1:4" ht="12.75">
      <c r="A319" s="70" t="s">
        <v>1037</v>
      </c>
      <c r="B319" s="71"/>
      <c r="C319" s="425">
        <v>88429</v>
      </c>
      <c r="D319" s="279">
        <f>475+55747</f>
        <v>56222</v>
      </c>
    </row>
    <row r="320" spans="1:4" ht="12.75">
      <c r="A320" s="70" t="s">
        <v>1038</v>
      </c>
      <c r="B320" s="71"/>
      <c r="C320" s="425">
        <v>0</v>
      </c>
      <c r="D320" s="279">
        <v>0</v>
      </c>
    </row>
    <row r="321" spans="1:4" ht="12.75">
      <c r="A321" s="70" t="s">
        <v>1039</v>
      </c>
      <c r="B321" s="71"/>
      <c r="C321" s="425">
        <v>296</v>
      </c>
      <c r="D321" s="279">
        <f>338+3</f>
        <v>341</v>
      </c>
    </row>
    <row r="322" spans="1:4" ht="12.75">
      <c r="A322" s="70" t="s">
        <v>1040</v>
      </c>
      <c r="B322" s="71"/>
      <c r="C322" s="425">
        <f>SUM(C323:C324)</f>
        <v>9240</v>
      </c>
      <c r="D322" s="279">
        <f>D323+D324</f>
        <v>2644</v>
      </c>
    </row>
    <row r="323" spans="1:4" ht="12.75">
      <c r="A323" s="70" t="s">
        <v>1041</v>
      </c>
      <c r="B323" s="71"/>
      <c r="C323" s="425">
        <v>9207</v>
      </c>
      <c r="D323" s="279">
        <f>1959+680</f>
        <v>2639</v>
      </c>
    </row>
    <row r="324" spans="1:4" ht="12.75">
      <c r="A324" s="70" t="s">
        <v>1042</v>
      </c>
      <c r="B324" s="71"/>
      <c r="C324" s="425">
        <v>33</v>
      </c>
      <c r="D324" s="279">
        <v>5</v>
      </c>
    </row>
    <row r="325" spans="1:4" ht="13.5" thickBot="1">
      <c r="A325" s="72" t="s">
        <v>1030</v>
      </c>
      <c r="B325" s="73"/>
      <c r="C325" s="426">
        <f>C314+C315+C322</f>
        <v>530563</v>
      </c>
      <c r="D325" s="288">
        <f>D314+D315+D322</f>
        <v>183634</v>
      </c>
    </row>
    <row r="326" spans="1:5" ht="27" thickBot="1" thickTop="1">
      <c r="A326" s="68"/>
      <c r="B326" s="67"/>
      <c r="C326" s="67"/>
      <c r="D326" s="310"/>
      <c r="E326" s="310"/>
    </row>
    <row r="327" spans="1:4" ht="27.75" customHeight="1" thickTop="1">
      <c r="A327" s="127" t="s">
        <v>272</v>
      </c>
      <c r="B327" s="21"/>
      <c r="C327" s="451" t="s">
        <v>2</v>
      </c>
      <c r="D327" s="305" t="s">
        <v>1</v>
      </c>
    </row>
    <row r="328" spans="1:4" s="41" customFormat="1" ht="12.75" customHeight="1">
      <c r="A328" s="70" t="s">
        <v>1032</v>
      </c>
      <c r="B328" s="71"/>
      <c r="C328" s="462">
        <v>17837</v>
      </c>
      <c r="D328" s="279">
        <f>7836+1255</f>
        <v>9091</v>
      </c>
    </row>
    <row r="329" spans="1:4" s="60" customFormat="1" ht="12.75" customHeight="1">
      <c r="A329" s="70" t="s">
        <v>1043</v>
      </c>
      <c r="B329" s="71"/>
      <c r="C329" s="462">
        <f>SUM(C330:C334)</f>
        <v>503486</v>
      </c>
      <c r="D329" s="279">
        <f>SUM(D330:D334)</f>
        <v>171899</v>
      </c>
    </row>
    <row r="330" spans="1:4" ht="12.75" customHeight="1">
      <c r="A330" s="70" t="s">
        <v>1034</v>
      </c>
      <c r="B330" s="71"/>
      <c r="C330" s="462">
        <v>100940</v>
      </c>
      <c r="D330" s="279">
        <f>68972+8</f>
        <v>68980</v>
      </c>
    </row>
    <row r="331" spans="1:4" s="41" customFormat="1" ht="12.75">
      <c r="A331" s="70" t="s">
        <v>1035</v>
      </c>
      <c r="B331" s="71"/>
      <c r="C331" s="462">
        <v>128297</v>
      </c>
      <c r="D331" s="279">
        <v>33000</v>
      </c>
    </row>
    <row r="332" spans="1:4" s="41" customFormat="1" ht="12.75" customHeight="1">
      <c r="A332" s="70" t="s">
        <v>1036</v>
      </c>
      <c r="B332" s="71"/>
      <c r="C332" s="462">
        <v>129273</v>
      </c>
      <c r="D332" s="279">
        <f>1240+2584</f>
        <v>3824</v>
      </c>
    </row>
    <row r="333" spans="1:4" s="41" customFormat="1" ht="12.75">
      <c r="A333" s="70" t="s">
        <v>1037</v>
      </c>
      <c r="B333" s="71"/>
      <c r="C333" s="462">
        <v>144262</v>
      </c>
      <c r="D333" s="279">
        <f>333+65762</f>
        <v>66095</v>
      </c>
    </row>
    <row r="334" spans="1:4" s="41" customFormat="1" ht="12.75">
      <c r="A334" s="70" t="s">
        <v>1038</v>
      </c>
      <c r="B334" s="71"/>
      <c r="C334" s="462">
        <v>714</v>
      </c>
      <c r="D334" s="279">
        <v>0</v>
      </c>
    </row>
    <row r="335" spans="1:4" s="41" customFormat="1" ht="12.75">
      <c r="A335" s="70" t="s">
        <v>1040</v>
      </c>
      <c r="B335" s="71"/>
      <c r="C335" s="462">
        <f>SUM(C336:C337)</f>
        <v>9240</v>
      </c>
      <c r="D335" s="279">
        <f>D336+D337</f>
        <v>2644</v>
      </c>
    </row>
    <row r="336" spans="1:4" s="41" customFormat="1" ht="12.75">
      <c r="A336" s="70" t="s">
        <v>1041</v>
      </c>
      <c r="B336" s="71"/>
      <c r="C336" s="462">
        <v>9207</v>
      </c>
      <c r="D336" s="279">
        <f>1959+680</f>
        <v>2639</v>
      </c>
    </row>
    <row r="337" spans="1:4" s="41" customFormat="1" ht="12.75">
      <c r="A337" s="70" t="s">
        <v>1042</v>
      </c>
      <c r="B337" s="71"/>
      <c r="C337" s="462">
        <v>33</v>
      </c>
      <c r="D337" s="279">
        <v>5</v>
      </c>
    </row>
    <row r="338" spans="1:4" s="41" customFormat="1" ht="13.5" thickBot="1">
      <c r="A338" s="72" t="s">
        <v>1030</v>
      </c>
      <c r="B338" s="73"/>
      <c r="C338" s="464">
        <f>C328+C329+C335</f>
        <v>530563</v>
      </c>
      <c r="D338" s="288">
        <f>D328+D329+D335</f>
        <v>183634</v>
      </c>
    </row>
    <row r="339" spans="1:5" s="41" customFormat="1" ht="27" thickBot="1" thickTop="1">
      <c r="A339" s="68"/>
      <c r="B339" s="67"/>
      <c r="C339" s="67"/>
      <c r="D339" s="310"/>
      <c r="E339" s="310"/>
    </row>
    <row r="340" spans="1:4" s="41" customFormat="1" ht="32.25" thickTop="1">
      <c r="A340" s="4" t="s">
        <v>1044</v>
      </c>
      <c r="B340" s="453"/>
      <c r="C340" s="304" t="s">
        <v>2</v>
      </c>
      <c r="D340" s="305" t="s">
        <v>1</v>
      </c>
    </row>
    <row r="341" spans="1:4" s="41" customFormat="1" ht="13.5" customHeight="1">
      <c r="A341" s="101" t="s">
        <v>1016</v>
      </c>
      <c r="B341" s="355"/>
      <c r="C341" s="307">
        <v>421079</v>
      </c>
      <c r="D341" s="308">
        <f>101840+66996</f>
        <v>168836</v>
      </c>
    </row>
    <row r="342" spans="1:4" s="41" customFormat="1" ht="12.75">
      <c r="A342" s="101" t="s">
        <v>1017</v>
      </c>
      <c r="B342" s="356"/>
      <c r="C342" s="307">
        <f>SUM(C348+C350+C352+C354+C356+C358+C360+C362+C364+C344+C346+C366)</f>
        <v>109006</v>
      </c>
      <c r="D342" s="308">
        <f>SUM(D348+D350+D352+D354+D356+D358+D360+D362+D364+D366)</f>
        <v>14460</v>
      </c>
    </row>
    <row r="343" spans="1:4" s="41" customFormat="1" ht="12.75">
      <c r="A343" s="102" t="s">
        <v>985</v>
      </c>
      <c r="B343" s="356"/>
      <c r="C343" s="373">
        <v>4480</v>
      </c>
      <c r="D343" s="374">
        <v>0</v>
      </c>
    </row>
    <row r="344" spans="1:4" s="41" customFormat="1" ht="12.75">
      <c r="A344" s="102" t="s">
        <v>1018</v>
      </c>
      <c r="B344" s="356"/>
      <c r="C344" s="373">
        <v>517</v>
      </c>
      <c r="D344" s="374">
        <v>0</v>
      </c>
    </row>
    <row r="345" spans="1:4" s="41" customFormat="1" ht="12.75">
      <c r="A345" s="102" t="s">
        <v>986</v>
      </c>
      <c r="B345" s="356"/>
      <c r="C345" s="373">
        <v>1015</v>
      </c>
      <c r="D345" s="374">
        <v>0</v>
      </c>
    </row>
    <row r="346" spans="1:4" s="41" customFormat="1" ht="12.75">
      <c r="A346" s="102" t="s">
        <v>1018</v>
      </c>
      <c r="B346" s="356"/>
      <c r="C346" s="373">
        <v>13</v>
      </c>
      <c r="D346" s="374">
        <v>0</v>
      </c>
    </row>
    <row r="347" spans="1:4" s="41" customFormat="1" ht="12.75">
      <c r="A347" s="102" t="s">
        <v>779</v>
      </c>
      <c r="B347" s="105"/>
      <c r="C347" s="309">
        <v>153</v>
      </c>
      <c r="D347" s="454">
        <v>134</v>
      </c>
    </row>
    <row r="348" spans="1:4" s="41" customFormat="1" ht="12.75">
      <c r="A348" s="102" t="s">
        <v>1018</v>
      </c>
      <c r="B348" s="105"/>
      <c r="C348" s="309">
        <v>414</v>
      </c>
      <c r="D348" s="454">
        <v>287</v>
      </c>
    </row>
    <row r="349" spans="1:4" s="41" customFormat="1" ht="12.75">
      <c r="A349" s="102" t="s">
        <v>780</v>
      </c>
      <c r="B349" s="105"/>
      <c r="C349" s="309">
        <v>2888</v>
      </c>
      <c r="D349" s="454">
        <v>4075</v>
      </c>
    </row>
    <row r="350" spans="1:4" s="41" customFormat="1" ht="12.75">
      <c r="A350" s="102" t="s">
        <v>1018</v>
      </c>
      <c r="B350" s="105"/>
      <c r="C350" s="309">
        <v>117</v>
      </c>
      <c r="D350" s="454">
        <v>126</v>
      </c>
    </row>
    <row r="351" spans="1:4" s="41" customFormat="1" ht="12.75">
      <c r="A351" s="102" t="s">
        <v>781</v>
      </c>
      <c r="B351" s="105"/>
      <c r="C351" s="309">
        <v>13319</v>
      </c>
      <c r="D351" s="454">
        <v>1627</v>
      </c>
    </row>
    <row r="352" spans="1:4" s="41" customFormat="1" ht="12.75">
      <c r="A352" s="102" t="s">
        <v>1018</v>
      </c>
      <c r="B352" s="105"/>
      <c r="C352" s="309">
        <v>55253</v>
      </c>
      <c r="D352" s="454">
        <v>5700</v>
      </c>
    </row>
    <row r="353" spans="1:4" s="41" customFormat="1" ht="12.75">
      <c r="A353" s="102" t="s">
        <v>782</v>
      </c>
      <c r="B353" s="105"/>
      <c r="C353" s="309">
        <v>54</v>
      </c>
      <c r="D353" s="454">
        <v>53</v>
      </c>
    </row>
    <row r="354" spans="1:4" s="41" customFormat="1" ht="12.75">
      <c r="A354" s="102" t="s">
        <v>1018</v>
      </c>
      <c r="B354" s="105"/>
      <c r="C354" s="309">
        <v>154</v>
      </c>
      <c r="D354" s="454">
        <v>120</v>
      </c>
    </row>
    <row r="355" spans="1:4" s="41" customFormat="1" ht="12.75">
      <c r="A355" s="102" t="s">
        <v>783</v>
      </c>
      <c r="B355" s="105"/>
      <c r="C355" s="309">
        <v>55</v>
      </c>
      <c r="D355" s="454">
        <v>71</v>
      </c>
    </row>
    <row r="356" spans="1:4" s="41" customFormat="1" ht="12.75">
      <c r="A356" s="102" t="s">
        <v>1018</v>
      </c>
      <c r="B356" s="105"/>
      <c r="C356" s="309">
        <v>370</v>
      </c>
      <c r="D356" s="454">
        <v>413</v>
      </c>
    </row>
    <row r="357" spans="1:4" s="41" customFormat="1" ht="12.75">
      <c r="A357" s="102" t="s">
        <v>784</v>
      </c>
      <c r="B357" s="105"/>
      <c r="C357" s="309">
        <v>817</v>
      </c>
      <c r="D357" s="454">
        <v>295</v>
      </c>
    </row>
    <row r="358" spans="1:4" s="41" customFormat="1" ht="12.75">
      <c r="A358" s="102" t="s">
        <v>1018</v>
      </c>
      <c r="B358" s="105"/>
      <c r="C358" s="309">
        <v>457</v>
      </c>
      <c r="D358" s="454">
        <v>162</v>
      </c>
    </row>
    <row r="359" spans="1:4" s="41" customFormat="1" ht="12.75">
      <c r="A359" s="102" t="s">
        <v>785</v>
      </c>
      <c r="B359" s="105"/>
      <c r="C359" s="309">
        <v>614</v>
      </c>
      <c r="D359" s="454">
        <v>259</v>
      </c>
    </row>
    <row r="360" spans="1:4" s="41" customFormat="1" ht="12.75">
      <c r="A360" s="102" t="s">
        <v>1018</v>
      </c>
      <c r="B360" s="105"/>
      <c r="C360" s="309">
        <v>317</v>
      </c>
      <c r="D360" s="454">
        <v>119</v>
      </c>
    </row>
    <row r="361" spans="1:4" s="41" customFormat="1" ht="12.75">
      <c r="A361" s="102" t="s">
        <v>983</v>
      </c>
      <c r="B361" s="105"/>
      <c r="C361" s="309">
        <v>47</v>
      </c>
      <c r="D361" s="454">
        <v>32</v>
      </c>
    </row>
    <row r="362" spans="1:4" s="41" customFormat="1" ht="12.75">
      <c r="A362" s="102" t="s">
        <v>1018</v>
      </c>
      <c r="B362" s="105"/>
      <c r="C362" s="309">
        <v>123</v>
      </c>
      <c r="D362" s="454">
        <v>81</v>
      </c>
    </row>
    <row r="363" spans="1:4" s="41" customFormat="1" ht="12.75">
      <c r="A363" s="102" t="s">
        <v>786</v>
      </c>
      <c r="B363" s="105"/>
      <c r="C363" s="309">
        <v>589</v>
      </c>
      <c r="D363" s="454">
        <v>67</v>
      </c>
    </row>
    <row r="364" spans="1:4" s="60" customFormat="1" ht="12.75" customHeight="1">
      <c r="A364" s="102" t="s">
        <v>1018</v>
      </c>
      <c r="B364" s="105"/>
      <c r="C364" s="309">
        <v>287</v>
      </c>
      <c r="D364" s="454">
        <v>29</v>
      </c>
    </row>
    <row r="365" spans="1:4" ht="12.75">
      <c r="A365" s="102" t="s">
        <v>787</v>
      </c>
      <c r="B365" s="105"/>
      <c r="C365" s="309">
        <f>8644-1+3587</f>
        <v>12230</v>
      </c>
      <c r="D365" s="454">
        <v>1814</v>
      </c>
    </row>
    <row r="366" spans="1:4" ht="12.75">
      <c r="A366" s="102" t="s">
        <v>1018</v>
      </c>
      <c r="B366" s="105"/>
      <c r="C366" s="309">
        <f>36036-4+14952</f>
        <v>50984</v>
      </c>
      <c r="D366" s="454">
        <v>7423</v>
      </c>
    </row>
    <row r="367" spans="1:4" ht="12.75">
      <c r="A367" s="102" t="s">
        <v>788</v>
      </c>
      <c r="B367" s="105"/>
      <c r="C367" s="309">
        <v>0</v>
      </c>
      <c r="D367" s="454">
        <v>0</v>
      </c>
    </row>
    <row r="368" spans="1:4" ht="13.5" thickBot="1">
      <c r="A368" s="72" t="s">
        <v>1045</v>
      </c>
      <c r="B368" s="357"/>
      <c r="C368" s="287">
        <f>SUM(C341:C342)</f>
        <v>530085</v>
      </c>
      <c r="D368" s="288">
        <f>SUM(D341:D342)</f>
        <v>183296</v>
      </c>
    </row>
    <row r="369" spans="1:5" ht="21.75" customHeight="1" thickBot="1" thickTop="1">
      <c r="A369" s="645"/>
      <c r="B369" s="67"/>
      <c r="C369" s="67"/>
      <c r="D369" s="310"/>
      <c r="E369" s="310"/>
    </row>
    <row r="370" spans="1:4" ht="24.75" customHeight="1" thickTop="1">
      <c r="A370" s="360" t="s">
        <v>273</v>
      </c>
      <c r="B370" s="21"/>
      <c r="C370" s="451" t="s">
        <v>2</v>
      </c>
      <c r="D370" s="305" t="s">
        <v>1</v>
      </c>
    </row>
    <row r="371" spans="1:4" ht="12.75">
      <c r="A371" s="70" t="s">
        <v>446</v>
      </c>
      <c r="B371" s="71"/>
      <c r="C371" s="425">
        <f>300362+63339</f>
        <v>363701</v>
      </c>
      <c r="D371" s="279">
        <f>113002+69609-1959</f>
        <v>180652</v>
      </c>
    </row>
    <row r="372" spans="1:4" s="41" customFormat="1" ht="12.75" customHeight="1">
      <c r="A372" s="70" t="s">
        <v>447</v>
      </c>
      <c r="B372" s="71"/>
      <c r="C372" s="425">
        <v>155277</v>
      </c>
      <c r="D372" s="279">
        <v>0</v>
      </c>
    </row>
    <row r="373" spans="1:4" s="60" customFormat="1" ht="12.75" customHeight="1">
      <c r="A373" s="70" t="s">
        <v>1051</v>
      </c>
      <c r="B373" s="71"/>
      <c r="C373" s="425">
        <f>SUM(C374:C376)</f>
        <v>2345</v>
      </c>
      <c r="D373" s="279">
        <f>SUM(D374:D376)</f>
        <v>338</v>
      </c>
    </row>
    <row r="374" spans="1:4" ht="12.75" customHeight="1">
      <c r="A374" s="70" t="s">
        <v>1048</v>
      </c>
      <c r="B374" s="71"/>
      <c r="C374" s="425">
        <v>1471</v>
      </c>
      <c r="D374" s="279">
        <v>0</v>
      </c>
    </row>
    <row r="375" spans="1:4" ht="12.75">
      <c r="A375" s="70" t="s">
        <v>1049</v>
      </c>
      <c r="B375" s="71"/>
      <c r="C375" s="425">
        <v>578</v>
      </c>
      <c r="D375" s="279">
        <v>0</v>
      </c>
    </row>
    <row r="376" spans="1:4" ht="12.75">
      <c r="A376" s="70" t="s">
        <v>1050</v>
      </c>
      <c r="B376" s="71"/>
      <c r="C376" s="425">
        <v>296</v>
      </c>
      <c r="D376" s="279">
        <f>338</f>
        <v>338</v>
      </c>
    </row>
    <row r="377" spans="1:4" ht="12.75">
      <c r="A377" s="70" t="s">
        <v>439</v>
      </c>
      <c r="B377" s="71"/>
      <c r="C377" s="425">
        <f>C378+C379</f>
        <v>9240</v>
      </c>
      <c r="D377" s="279">
        <f>D378+D379</f>
        <v>2644</v>
      </c>
    </row>
    <row r="378" spans="1:4" ht="12" customHeight="1">
      <c r="A378" s="70" t="s">
        <v>440</v>
      </c>
      <c r="B378" s="71"/>
      <c r="C378" s="425">
        <v>9207</v>
      </c>
      <c r="D378" s="279">
        <f>680+1959</f>
        <v>2639</v>
      </c>
    </row>
    <row r="379" spans="1:4" ht="12.75">
      <c r="A379" s="70" t="s">
        <v>441</v>
      </c>
      <c r="B379" s="71"/>
      <c r="C379" s="425">
        <f>SUM(C380:C381)</f>
        <v>33</v>
      </c>
      <c r="D379" s="279">
        <f>SUM(D380:D381)</f>
        <v>5</v>
      </c>
    </row>
    <row r="380" spans="1:4" s="41" customFormat="1" ht="12.75" customHeight="1">
      <c r="A380" s="70" t="s">
        <v>442</v>
      </c>
      <c r="B380" s="272"/>
      <c r="C380" s="456">
        <v>33</v>
      </c>
      <c r="D380" s="313">
        <v>5</v>
      </c>
    </row>
    <row r="381" spans="1:4" s="60" customFormat="1" ht="12.75" customHeight="1">
      <c r="A381" s="70" t="s">
        <v>443</v>
      </c>
      <c r="B381" s="272"/>
      <c r="C381" s="456">
        <v>0</v>
      </c>
      <c r="D381" s="313">
        <v>0</v>
      </c>
    </row>
    <row r="382" spans="1:4" ht="12.75" customHeight="1" thickBot="1">
      <c r="A382" s="72" t="s">
        <v>1030</v>
      </c>
      <c r="B382" s="73"/>
      <c r="C382" s="426">
        <f>C371+C372+C373+C377</f>
        <v>530563</v>
      </c>
      <c r="D382" s="288">
        <f>D371+D372+D373+D377</f>
        <v>183634</v>
      </c>
    </row>
    <row r="383" spans="1:5" ht="15.75" customHeight="1" thickBot="1" thickTop="1">
      <c r="A383" s="68"/>
      <c r="B383" s="67"/>
      <c r="C383" s="67"/>
      <c r="D383" s="310"/>
      <c r="E383" s="310"/>
    </row>
    <row r="384" spans="1:4" ht="36.75" thickTop="1">
      <c r="A384" s="4" t="s">
        <v>1052</v>
      </c>
      <c r="B384" s="165"/>
      <c r="C384" s="451" t="s">
        <v>2</v>
      </c>
      <c r="D384" s="305" t="s">
        <v>1</v>
      </c>
    </row>
    <row r="385" spans="1:4" ht="12.75">
      <c r="A385" s="70" t="s">
        <v>1053</v>
      </c>
      <c r="B385" s="71"/>
      <c r="C385" s="457">
        <v>122218</v>
      </c>
      <c r="D385" s="354">
        <v>0</v>
      </c>
    </row>
    <row r="386" spans="1:4" ht="12" customHeight="1">
      <c r="A386" s="70" t="s">
        <v>1054</v>
      </c>
      <c r="B386" s="71"/>
      <c r="C386" s="457">
        <f>SUM(C387:C389)</f>
        <v>1978</v>
      </c>
      <c r="D386" s="354">
        <f>SUM(D387:D389)</f>
        <v>0</v>
      </c>
    </row>
    <row r="387" spans="1:4" ht="12.75">
      <c r="A387" s="70" t="s">
        <v>1055</v>
      </c>
      <c r="B387" s="71"/>
      <c r="C387" s="457">
        <v>1408</v>
      </c>
      <c r="D387" s="354">
        <v>0</v>
      </c>
    </row>
    <row r="388" spans="1:4" s="41" customFormat="1" ht="12.75" customHeight="1">
      <c r="A388" s="70" t="s">
        <v>1056</v>
      </c>
      <c r="B388" s="71"/>
      <c r="C388" s="457">
        <v>570</v>
      </c>
      <c r="D388" s="354">
        <v>0</v>
      </c>
    </row>
    <row r="389" spans="1:4" s="60" customFormat="1" ht="12.75" customHeight="1">
      <c r="A389" s="70" t="s">
        <v>1057</v>
      </c>
      <c r="B389" s="71"/>
      <c r="C389" s="457">
        <v>0</v>
      </c>
      <c r="D389" s="354">
        <v>0</v>
      </c>
    </row>
    <row r="390" spans="1:4" ht="25.5" customHeight="1" thickBot="1">
      <c r="A390" s="72" t="s">
        <v>1058</v>
      </c>
      <c r="B390" s="73"/>
      <c r="C390" s="503">
        <f>SUM(C385:C386)</f>
        <v>124196</v>
      </c>
      <c r="D390" s="284">
        <f>D385+D386</f>
        <v>0</v>
      </c>
    </row>
    <row r="391" spans="1:5" ht="12" customHeight="1" thickBot="1" thickTop="1">
      <c r="A391" s="68"/>
      <c r="B391" s="67"/>
      <c r="C391" s="67"/>
      <c r="D391" s="310"/>
      <c r="E391" s="310"/>
    </row>
    <row r="392" spans="1:4" ht="21.75" customHeight="1" thickTop="1">
      <c r="A392" s="361" t="s">
        <v>1059</v>
      </c>
      <c r="B392" s="5"/>
      <c r="C392" s="451" t="s">
        <v>2</v>
      </c>
      <c r="D392" s="305" t="s">
        <v>1</v>
      </c>
    </row>
    <row r="393" spans="1:4" ht="12" customHeight="1">
      <c r="A393" s="70" t="s">
        <v>124</v>
      </c>
      <c r="B393" s="71"/>
      <c r="C393" s="457">
        <v>166</v>
      </c>
      <c r="D393" s="354">
        <v>0</v>
      </c>
    </row>
    <row r="394" spans="1:4" ht="12" customHeight="1">
      <c r="A394" s="70" t="s">
        <v>125</v>
      </c>
      <c r="B394" s="71"/>
      <c r="C394" s="452">
        <f>SUM(C395:C397)</f>
        <v>312</v>
      </c>
      <c r="D394" s="354">
        <f>SUM(D395:D397)</f>
        <v>338</v>
      </c>
    </row>
    <row r="395" spans="1:4" ht="12" customHeight="1">
      <c r="A395" s="70" t="s">
        <v>1055</v>
      </c>
      <c r="B395" s="71"/>
      <c r="C395" s="452">
        <v>12</v>
      </c>
      <c r="D395" s="354">
        <v>0</v>
      </c>
    </row>
    <row r="396" spans="1:4" ht="12" customHeight="1">
      <c r="A396" s="70" t="s">
        <v>126</v>
      </c>
      <c r="B396" s="71"/>
      <c r="C396" s="452">
        <v>4</v>
      </c>
      <c r="D396" s="354">
        <v>0</v>
      </c>
    </row>
    <row r="397" spans="1:4" ht="12" customHeight="1">
      <c r="A397" s="70" t="s">
        <v>130</v>
      </c>
      <c r="B397" s="71"/>
      <c r="C397" s="452">
        <v>296</v>
      </c>
      <c r="D397" s="354">
        <f>338</f>
        <v>338</v>
      </c>
    </row>
    <row r="398" spans="1:4" ht="12" customHeight="1" thickBot="1">
      <c r="A398" s="72" t="s">
        <v>0</v>
      </c>
      <c r="B398" s="73"/>
      <c r="C398" s="426">
        <f>C393+C394</f>
        <v>478</v>
      </c>
      <c r="D398" s="288">
        <f>SUM(D393:D394)</f>
        <v>338</v>
      </c>
    </row>
    <row r="399" spans="1:5" ht="12" customHeight="1" thickBot="1" thickTop="1">
      <c r="A399" s="68"/>
      <c r="B399" s="67"/>
      <c r="C399" s="67"/>
      <c r="D399" s="310"/>
      <c r="E399" s="310"/>
    </row>
    <row r="400" spans="1:4" ht="32.25" customHeight="1" thickTop="1">
      <c r="A400" s="127" t="s">
        <v>133</v>
      </c>
      <c r="B400" s="21"/>
      <c r="C400" s="451" t="s">
        <v>11</v>
      </c>
      <c r="D400" s="305" t="s">
        <v>4</v>
      </c>
    </row>
    <row r="401" spans="1:4" ht="12" customHeight="1">
      <c r="A401" s="70" t="s">
        <v>444</v>
      </c>
      <c r="B401" s="71"/>
      <c r="C401" s="462">
        <v>338</v>
      </c>
      <c r="D401" s="279">
        <v>338</v>
      </c>
    </row>
    <row r="402" spans="1:4" ht="12" customHeight="1">
      <c r="A402" s="70" t="s">
        <v>796</v>
      </c>
      <c r="B402" s="71"/>
      <c r="C402" s="462">
        <f>C403</f>
        <v>586</v>
      </c>
      <c r="D402" s="279">
        <f>SUM(D403:D403)</f>
        <v>0</v>
      </c>
    </row>
    <row r="403" spans="1:4" ht="12" customHeight="1">
      <c r="A403" s="70" t="s">
        <v>15</v>
      </c>
      <c r="B403" s="71"/>
      <c r="C403" s="462">
        <v>586</v>
      </c>
      <c r="D403" s="279">
        <v>0</v>
      </c>
    </row>
    <row r="404" spans="1:4" s="41" customFormat="1" ht="12" customHeight="1">
      <c r="A404" s="70" t="s">
        <v>135</v>
      </c>
      <c r="B404" s="71"/>
      <c r="C404" s="462">
        <v>0</v>
      </c>
      <c r="D404" s="279">
        <v>0</v>
      </c>
    </row>
    <row r="405" spans="1:4" s="60" customFormat="1" ht="12.75">
      <c r="A405" s="70" t="s">
        <v>136</v>
      </c>
      <c r="B405" s="71"/>
      <c r="C405" s="462">
        <f>C406</f>
        <v>446</v>
      </c>
      <c r="D405" s="279">
        <f>SUM(D406:D406)</f>
        <v>0</v>
      </c>
    </row>
    <row r="406" spans="1:4" s="60" customFormat="1" ht="12.75">
      <c r="A406" s="70" t="s">
        <v>1047</v>
      </c>
      <c r="B406" s="71"/>
      <c r="C406" s="462">
        <v>446</v>
      </c>
      <c r="D406" s="279">
        <v>0</v>
      </c>
    </row>
    <row r="407" spans="1:4" s="60" customFormat="1" ht="13.5" thickBot="1">
      <c r="A407" s="72" t="s">
        <v>134</v>
      </c>
      <c r="B407" s="73"/>
      <c r="C407" s="464">
        <f>C401-C404-C405+C402</f>
        <v>478</v>
      </c>
      <c r="D407" s="288">
        <f>D401-D404-D405+D402</f>
        <v>338</v>
      </c>
    </row>
    <row r="408" spans="1:5" ht="20.25" customHeight="1" thickBot="1" thickTop="1">
      <c r="A408" s="69" t="s">
        <v>137</v>
      </c>
      <c r="B408" s="59"/>
      <c r="C408" s="59"/>
      <c r="D408" s="310"/>
      <c r="E408" s="310"/>
    </row>
    <row r="409" spans="1:4" ht="22.5" customHeight="1" thickTop="1">
      <c r="A409" s="4" t="s">
        <v>138</v>
      </c>
      <c r="B409" s="21"/>
      <c r="C409" s="451" t="s">
        <v>2</v>
      </c>
      <c r="D409" s="305" t="s">
        <v>1</v>
      </c>
    </row>
    <row r="410" spans="1:4" ht="12" customHeight="1">
      <c r="A410" s="70" t="s">
        <v>139</v>
      </c>
      <c r="B410" s="71"/>
      <c r="C410" s="452">
        <v>2129585</v>
      </c>
      <c r="D410" s="354">
        <f>1702879-53022</f>
        <v>1649857</v>
      </c>
    </row>
    <row r="411" spans="1:4" s="41" customFormat="1" ht="12.75" customHeight="1">
      <c r="A411" s="70" t="s">
        <v>140</v>
      </c>
      <c r="B411" s="71"/>
      <c r="C411" s="452">
        <v>373955</v>
      </c>
      <c r="D411" s="354">
        <f>367756-16587</f>
        <v>351169</v>
      </c>
    </row>
    <row r="412" spans="1:4" ht="12.75">
      <c r="A412" s="70" t="s">
        <v>141</v>
      </c>
      <c r="B412" s="71"/>
      <c r="C412" s="452">
        <v>0</v>
      </c>
      <c r="D412" s="354">
        <v>0</v>
      </c>
    </row>
    <row r="413" spans="1:4" s="41" customFormat="1" ht="12" customHeight="1">
      <c r="A413" s="70" t="s">
        <v>142</v>
      </c>
      <c r="B413" s="71"/>
      <c r="C413" s="458">
        <v>0</v>
      </c>
      <c r="D413" s="354">
        <v>0</v>
      </c>
    </row>
    <row r="414" spans="1:4" ht="12" customHeight="1">
      <c r="A414" s="70" t="s">
        <v>143</v>
      </c>
      <c r="B414" s="71"/>
      <c r="C414" s="452">
        <f>SUM(C415:C416)</f>
        <v>127257</v>
      </c>
      <c r="D414" s="354">
        <f>SUM(D415:D416)</f>
        <v>53704</v>
      </c>
    </row>
    <row r="415" spans="1:4" ht="12" customHeight="1">
      <c r="A415" s="70" t="s">
        <v>144</v>
      </c>
      <c r="B415" s="71"/>
      <c r="C415" s="452">
        <v>108797</v>
      </c>
      <c r="D415" s="354">
        <f>38450-680</f>
        <v>37770</v>
      </c>
    </row>
    <row r="416" spans="1:4" ht="12" customHeight="1">
      <c r="A416" s="70" t="s">
        <v>145</v>
      </c>
      <c r="B416" s="71"/>
      <c r="C416" s="452">
        <v>18460</v>
      </c>
      <c r="D416" s="354">
        <f>15939-5</f>
        <v>15934</v>
      </c>
    </row>
    <row r="417" spans="1:4" ht="12" customHeight="1">
      <c r="A417" s="70" t="s">
        <v>149</v>
      </c>
      <c r="B417" s="71"/>
      <c r="C417" s="452">
        <v>1108</v>
      </c>
      <c r="D417" s="354">
        <f>991</f>
        <v>991</v>
      </c>
    </row>
    <row r="418" spans="1:4" ht="12" customHeight="1" thickBot="1">
      <c r="A418" s="150" t="s">
        <v>150</v>
      </c>
      <c r="B418" s="151"/>
      <c r="C418" s="459">
        <f>C410+C411+C412+C413+C414+C417</f>
        <v>2631905</v>
      </c>
      <c r="D418" s="281">
        <f>D410+D411+D412+D413+D414+D417</f>
        <v>2055721</v>
      </c>
    </row>
    <row r="419" spans="1:4" ht="22.5" customHeight="1" thickTop="1">
      <c r="A419" s="74" t="s">
        <v>445</v>
      </c>
      <c r="B419" s="75"/>
      <c r="C419" s="649">
        <v>-33717</v>
      </c>
      <c r="D419" s="650">
        <f>-29579</f>
        <v>-29579</v>
      </c>
    </row>
    <row r="420" spans="1:4" ht="12" customHeight="1" thickBot="1">
      <c r="A420" s="72" t="s">
        <v>151</v>
      </c>
      <c r="B420" s="73"/>
      <c r="C420" s="426">
        <f>C418+C419</f>
        <v>2598188</v>
      </c>
      <c r="D420" s="288">
        <f>D418+D419</f>
        <v>2026142</v>
      </c>
    </row>
    <row r="421" spans="1:5" ht="12" customHeight="1" thickTop="1">
      <c r="A421" s="76"/>
      <c r="B421" s="60"/>
      <c r="C421" s="60"/>
      <c r="D421" s="314"/>
      <c r="E421" s="314"/>
    </row>
    <row r="422" spans="1:5" ht="12" customHeight="1" thickBot="1">
      <c r="A422" s="76"/>
      <c r="B422" s="60"/>
      <c r="C422" s="60"/>
      <c r="D422" s="314"/>
      <c r="E422" s="314"/>
    </row>
    <row r="423" spans="1:4" ht="23.25" customHeight="1" thickTop="1">
      <c r="A423" s="4" t="s">
        <v>152</v>
      </c>
      <c r="B423" s="21"/>
      <c r="C423" s="451" t="s">
        <v>2</v>
      </c>
      <c r="D423" s="305" t="s">
        <v>1</v>
      </c>
    </row>
    <row r="424" spans="1:4" ht="12" customHeight="1">
      <c r="A424" s="70" t="s">
        <v>1032</v>
      </c>
      <c r="B424" s="71"/>
      <c r="C424" s="452">
        <v>148504</v>
      </c>
      <c r="D424" s="354">
        <f>107825-1255</f>
        <v>106570</v>
      </c>
    </row>
    <row r="425" spans="1:4" s="41" customFormat="1" ht="12" customHeight="1">
      <c r="A425" s="70" t="s">
        <v>1033</v>
      </c>
      <c r="B425" s="71"/>
      <c r="C425" s="452">
        <f>SUM(C426:C431)</f>
        <v>2356144.12</v>
      </c>
      <c r="D425" s="354">
        <f>SUM(D426:D431)</f>
        <v>1895447</v>
      </c>
    </row>
    <row r="426" spans="1:4" s="60" customFormat="1" ht="12.75" customHeight="1">
      <c r="A426" s="70" t="s">
        <v>153</v>
      </c>
      <c r="B426" s="71"/>
      <c r="C426" s="452">
        <v>268709.12</v>
      </c>
      <c r="D426" s="354">
        <f>313408-11</f>
        <v>313397</v>
      </c>
    </row>
    <row r="427" spans="1:4" ht="12.75" customHeight="1">
      <c r="A427" s="70" t="s">
        <v>154</v>
      </c>
      <c r="B427" s="71"/>
      <c r="C427" s="458">
        <v>253119</v>
      </c>
      <c r="D427" s="354">
        <f>133728-154</f>
        <v>133574</v>
      </c>
    </row>
    <row r="428" spans="1:4" ht="12" customHeight="1">
      <c r="A428" s="70" t="s">
        <v>155</v>
      </c>
      <c r="B428" s="71"/>
      <c r="C428" s="458">
        <v>711253</v>
      </c>
      <c r="D428" s="354">
        <f>468120-12439</f>
        <v>455681</v>
      </c>
    </row>
    <row r="429" spans="1:4" ht="12" customHeight="1">
      <c r="A429" s="70" t="s">
        <v>156</v>
      </c>
      <c r="B429" s="71"/>
      <c r="C429" s="458">
        <v>771975</v>
      </c>
      <c r="D429" s="354">
        <f>824079-55747</f>
        <v>768332</v>
      </c>
    </row>
    <row r="430" spans="1:4" ht="12" customHeight="1">
      <c r="A430" s="70" t="s">
        <v>157</v>
      </c>
      <c r="B430" s="71"/>
      <c r="C430" s="458">
        <v>283523</v>
      </c>
      <c r="D430" s="354">
        <f>190716</f>
        <v>190716</v>
      </c>
    </row>
    <row r="431" spans="1:4" ht="12" customHeight="1">
      <c r="A431" s="70" t="s">
        <v>158</v>
      </c>
      <c r="B431" s="71"/>
      <c r="C431" s="458">
        <v>67565</v>
      </c>
      <c r="D431" s="354">
        <f>33750-3</f>
        <v>33747</v>
      </c>
    </row>
    <row r="432" spans="1:4" ht="12" customHeight="1">
      <c r="A432" s="70" t="s">
        <v>1040</v>
      </c>
      <c r="B432" s="71"/>
      <c r="C432" s="458">
        <f>SUM(C433:C434)</f>
        <v>127257</v>
      </c>
      <c r="D432" s="354">
        <f>SUM(D433:D434)</f>
        <v>53704</v>
      </c>
    </row>
    <row r="433" spans="1:4" ht="12" customHeight="1">
      <c r="A433" s="70" t="s">
        <v>1041</v>
      </c>
      <c r="B433" s="71"/>
      <c r="C433" s="458">
        <v>108797</v>
      </c>
      <c r="D433" s="354">
        <f>38450-680</f>
        <v>37770</v>
      </c>
    </row>
    <row r="434" spans="1:4" ht="12" customHeight="1">
      <c r="A434" s="70" t="s">
        <v>1042</v>
      </c>
      <c r="B434" s="71"/>
      <c r="C434" s="458">
        <v>18460</v>
      </c>
      <c r="D434" s="354">
        <f>15939-5</f>
        <v>15934</v>
      </c>
    </row>
    <row r="435" spans="1:4" ht="12" customHeight="1" thickBot="1">
      <c r="A435" s="72" t="s">
        <v>159</v>
      </c>
      <c r="B435" s="73"/>
      <c r="C435" s="460">
        <f>C424+C425+C432</f>
        <v>2631905.12</v>
      </c>
      <c r="D435" s="288">
        <f>D424+D425+D432</f>
        <v>2055721</v>
      </c>
    </row>
    <row r="436" spans="1:5" ht="12" customHeight="1" thickBot="1" thickTop="1">
      <c r="A436" s="76"/>
      <c r="B436" s="60"/>
      <c r="C436" s="60"/>
      <c r="D436" s="314"/>
      <c r="E436" s="314"/>
    </row>
    <row r="437" spans="1:4" ht="36.75" customHeight="1" thickTop="1">
      <c r="A437" s="4" t="s">
        <v>160</v>
      </c>
      <c r="B437" s="21"/>
      <c r="C437" s="451" t="s">
        <v>2</v>
      </c>
      <c r="D437" s="305" t="s">
        <v>1</v>
      </c>
    </row>
    <row r="438" spans="1:4" s="41" customFormat="1" ht="12" customHeight="1">
      <c r="A438" s="70" t="s">
        <v>1032</v>
      </c>
      <c r="B438" s="71"/>
      <c r="C438" s="425">
        <v>148504</v>
      </c>
      <c r="D438" s="279">
        <f>110280-1255</f>
        <v>109025</v>
      </c>
    </row>
    <row r="439" spans="1:4" s="88" customFormat="1" ht="12" customHeight="1">
      <c r="A439" s="70" t="s">
        <v>1043</v>
      </c>
      <c r="B439" s="71"/>
      <c r="C439" s="425">
        <f>SUM(C440:C444)</f>
        <v>2356144</v>
      </c>
      <c r="D439" s="279">
        <f>SUM(D440:D444)</f>
        <v>1892992</v>
      </c>
    </row>
    <row r="440" spans="1:4" ht="12.75" customHeight="1">
      <c r="A440" s="70" t="s">
        <v>1034</v>
      </c>
      <c r="B440" s="71"/>
      <c r="C440" s="425">
        <v>1108</v>
      </c>
      <c r="D440" s="279">
        <f>991-8</f>
        <v>983</v>
      </c>
    </row>
    <row r="441" spans="1:4" s="41" customFormat="1" ht="12" customHeight="1">
      <c r="A441" s="70" t="s">
        <v>1035</v>
      </c>
      <c r="B441" s="71"/>
      <c r="C441" s="425">
        <v>0</v>
      </c>
      <c r="D441" s="279">
        <v>0</v>
      </c>
    </row>
    <row r="442" spans="1:4" s="41" customFormat="1" ht="12" customHeight="1">
      <c r="A442" s="70" t="s">
        <v>1036</v>
      </c>
      <c r="B442" s="71"/>
      <c r="C442" s="462">
        <v>634858</v>
      </c>
      <c r="D442" s="279">
        <f>554019-2584</f>
        <v>551435</v>
      </c>
    </row>
    <row r="443" spans="1:4" s="41" customFormat="1" ht="12" customHeight="1">
      <c r="A443" s="70" t="s">
        <v>1037</v>
      </c>
      <c r="B443" s="71"/>
      <c r="C443" s="425">
        <v>888367</v>
      </c>
      <c r="D443" s="279">
        <f>737091-65762</f>
        <v>671329</v>
      </c>
    </row>
    <row r="444" spans="1:4" s="41" customFormat="1" ht="12" customHeight="1">
      <c r="A444" s="70" t="s">
        <v>1038</v>
      </c>
      <c r="B444" s="71"/>
      <c r="C444" s="425">
        <v>831811</v>
      </c>
      <c r="D444" s="279">
        <v>669245</v>
      </c>
    </row>
    <row r="445" spans="1:4" s="41" customFormat="1" ht="12" customHeight="1">
      <c r="A445" s="70" t="s">
        <v>1040</v>
      </c>
      <c r="B445" s="71"/>
      <c r="C445" s="425">
        <f>SUM(C446:C447)</f>
        <v>127257</v>
      </c>
      <c r="D445" s="279">
        <f>SUM(D446:D447)</f>
        <v>53704</v>
      </c>
    </row>
    <row r="446" spans="1:4" s="41" customFormat="1" ht="12" customHeight="1">
      <c r="A446" s="70" t="s">
        <v>1041</v>
      </c>
      <c r="B446" s="71"/>
      <c r="C446" s="425">
        <v>108797</v>
      </c>
      <c r="D446" s="279">
        <f>38450-680</f>
        <v>37770</v>
      </c>
    </row>
    <row r="447" spans="1:4" s="41" customFormat="1" ht="12" customHeight="1">
      <c r="A447" s="70" t="s">
        <v>1042</v>
      </c>
      <c r="B447" s="71"/>
      <c r="C447" s="425">
        <v>18460</v>
      </c>
      <c r="D447" s="279">
        <f>15939-5</f>
        <v>15934</v>
      </c>
    </row>
    <row r="448" spans="1:4" s="41" customFormat="1" ht="12" customHeight="1" thickBot="1">
      <c r="A448" s="72" t="s">
        <v>159</v>
      </c>
      <c r="B448" s="73"/>
      <c r="C448" s="426">
        <f>C438+C439+C445</f>
        <v>2631905</v>
      </c>
      <c r="D448" s="288">
        <f>D438+D439+D445</f>
        <v>2055721</v>
      </c>
    </row>
    <row r="449" spans="1:5" s="41" customFormat="1" ht="12" customHeight="1" thickBot="1" thickTop="1">
      <c r="A449" s="77"/>
      <c r="B449" s="100"/>
      <c r="C449" s="100"/>
      <c r="D449" s="315"/>
      <c r="E449" s="315"/>
    </row>
    <row r="450" spans="1:4" s="41" customFormat="1" ht="22.5" customHeight="1" thickTop="1">
      <c r="A450" s="4" t="s">
        <v>161</v>
      </c>
      <c r="B450" s="461"/>
      <c r="C450" s="304" t="s">
        <v>2</v>
      </c>
      <c r="D450" s="305" t="s">
        <v>1</v>
      </c>
    </row>
    <row r="451" spans="1:4" s="41" customFormat="1" ht="12.75" customHeight="1">
      <c r="A451" s="101" t="s">
        <v>1016</v>
      </c>
      <c r="B451" s="355"/>
      <c r="C451" s="307">
        <v>2533015</v>
      </c>
      <c r="D451" s="308">
        <f>2021204-66996</f>
        <v>1954208</v>
      </c>
    </row>
    <row r="452" spans="1:4" s="60" customFormat="1" ht="12.75" customHeight="1">
      <c r="A452" s="101" t="s">
        <v>1017</v>
      </c>
      <c r="B452" s="356"/>
      <c r="C452" s="307">
        <f>C454+C457+C456</f>
        <v>65173</v>
      </c>
      <c r="D452" s="308">
        <f>D454+D457+D456</f>
        <v>71934</v>
      </c>
    </row>
    <row r="453" spans="1:4" ht="12" customHeight="1">
      <c r="A453" s="102" t="s">
        <v>12</v>
      </c>
      <c r="B453" s="105"/>
      <c r="C453" s="309">
        <v>6038</v>
      </c>
      <c r="D453" s="454">
        <v>4794</v>
      </c>
    </row>
    <row r="454" spans="1:4" ht="12.75" customHeight="1">
      <c r="A454" s="102" t="s">
        <v>1018</v>
      </c>
      <c r="B454" s="105"/>
      <c r="C454" s="309">
        <v>25048</v>
      </c>
      <c r="D454" s="454">
        <v>16797</v>
      </c>
    </row>
    <row r="455" spans="1:4" ht="12.75" customHeight="1">
      <c r="A455" s="102" t="s">
        <v>789</v>
      </c>
      <c r="B455" s="105"/>
      <c r="C455" s="309">
        <f>732+8893</f>
        <v>9625</v>
      </c>
      <c r="D455" s="454">
        <v>13473</v>
      </c>
    </row>
    <row r="456" spans="1:4" ht="12.75" customHeight="1">
      <c r="A456" s="102" t="s">
        <v>1018</v>
      </c>
      <c r="B456" s="105"/>
      <c r="C456" s="309">
        <f>3052+37073</f>
        <v>40125</v>
      </c>
      <c r="D456" s="454">
        <v>55137</v>
      </c>
    </row>
    <row r="457" spans="1:4" ht="12" customHeight="1">
      <c r="A457" s="102" t="s">
        <v>790</v>
      </c>
      <c r="B457" s="105"/>
      <c r="C457" s="309">
        <v>0</v>
      </c>
      <c r="D457" s="454">
        <v>0</v>
      </c>
    </row>
    <row r="458" spans="1:4" ht="12" customHeight="1" thickBot="1">
      <c r="A458" s="72" t="s">
        <v>162</v>
      </c>
      <c r="B458" s="357"/>
      <c r="C458" s="287">
        <f>SUM(C451+C452)</f>
        <v>2598188</v>
      </c>
      <c r="D458" s="288">
        <f>D451+D452</f>
        <v>2026142</v>
      </c>
    </row>
    <row r="459" spans="1:5" ht="14.25" customHeight="1" thickBot="1" thickTop="1">
      <c r="A459" s="645"/>
      <c r="B459" s="59"/>
      <c r="C459" s="59"/>
      <c r="D459" s="316"/>
      <c r="E459" s="316"/>
    </row>
    <row r="460" spans="1:4" ht="21.75" customHeight="1" thickTop="1">
      <c r="A460" s="4" t="s">
        <v>163</v>
      </c>
      <c r="B460" s="21"/>
      <c r="C460" s="451" t="s">
        <v>2</v>
      </c>
      <c r="D460" s="305" t="s">
        <v>1</v>
      </c>
    </row>
    <row r="461" spans="1:4" ht="12.75" customHeight="1">
      <c r="A461" s="70" t="s">
        <v>446</v>
      </c>
      <c r="B461" s="71"/>
      <c r="C461" s="462">
        <v>2310241</v>
      </c>
      <c r="D461" s="362">
        <f>2035505-38318-69609</f>
        <v>1927578</v>
      </c>
    </row>
    <row r="462" spans="1:4" s="41" customFormat="1" ht="12.75" customHeight="1">
      <c r="A462" s="70" t="s">
        <v>447</v>
      </c>
      <c r="B462" s="71"/>
      <c r="C462" s="462">
        <v>82993</v>
      </c>
      <c r="D462" s="362">
        <v>0</v>
      </c>
    </row>
    <row r="463" spans="1:4" s="60" customFormat="1" ht="12.75" customHeight="1">
      <c r="A463" s="70" t="s">
        <v>1051</v>
      </c>
      <c r="B463" s="71"/>
      <c r="C463" s="462">
        <f>SUM(C464:C466)</f>
        <v>111414</v>
      </c>
      <c r="D463" s="362">
        <f>SUM(D464:D466)</f>
        <v>74439</v>
      </c>
    </row>
    <row r="464" spans="1:4" ht="12.75" customHeight="1">
      <c r="A464" s="70" t="s">
        <v>164</v>
      </c>
      <c r="B464" s="71"/>
      <c r="C464" s="462">
        <v>42557</v>
      </c>
      <c r="D464" s="362">
        <f>41187</f>
        <v>41187</v>
      </c>
    </row>
    <row r="465" spans="1:4" ht="12" customHeight="1">
      <c r="A465" s="70" t="s">
        <v>165</v>
      </c>
      <c r="B465" s="71"/>
      <c r="C465" s="462">
        <v>35831</v>
      </c>
      <c r="D465" s="362">
        <f>4644</f>
        <v>4644</v>
      </c>
    </row>
    <row r="466" spans="1:4" ht="12" customHeight="1">
      <c r="A466" s="70" t="s">
        <v>166</v>
      </c>
      <c r="B466" s="71"/>
      <c r="C466" s="462">
        <v>33026</v>
      </c>
      <c r="D466" s="362">
        <f>28608</f>
        <v>28608</v>
      </c>
    </row>
    <row r="467" spans="1:4" ht="12" customHeight="1">
      <c r="A467" s="70" t="s">
        <v>439</v>
      </c>
      <c r="B467" s="71"/>
      <c r="C467" s="462">
        <f>SUM(C469+C468)</f>
        <v>127257</v>
      </c>
      <c r="D467" s="362">
        <f>D468+D469</f>
        <v>53704</v>
      </c>
    </row>
    <row r="468" spans="1:4" ht="12" customHeight="1">
      <c r="A468" s="70" t="s">
        <v>440</v>
      </c>
      <c r="B468" s="71"/>
      <c r="C468" s="462">
        <v>108797</v>
      </c>
      <c r="D468" s="362">
        <f>38450-680</f>
        <v>37770</v>
      </c>
    </row>
    <row r="469" spans="1:4" ht="12" customHeight="1">
      <c r="A469" s="70" t="s">
        <v>441</v>
      </c>
      <c r="B469" s="71"/>
      <c r="C469" s="462">
        <f>C470+C471</f>
        <v>18460</v>
      </c>
      <c r="D469" s="362">
        <f>SUM(D470:D471)</f>
        <v>15934</v>
      </c>
    </row>
    <row r="470" spans="1:4" ht="12" customHeight="1">
      <c r="A470" s="70" t="s">
        <v>442</v>
      </c>
      <c r="B470" s="272"/>
      <c r="C470" s="463">
        <v>355</v>
      </c>
      <c r="D470" s="496">
        <f>313-5</f>
        <v>308</v>
      </c>
    </row>
    <row r="471" spans="1:4" s="41" customFormat="1" ht="12.75" customHeight="1">
      <c r="A471" s="70" t="s">
        <v>443</v>
      </c>
      <c r="B471" s="272"/>
      <c r="C471" s="463">
        <v>18105</v>
      </c>
      <c r="D471" s="496">
        <f>15626</f>
        <v>15626</v>
      </c>
    </row>
    <row r="472" spans="1:5" s="60" customFormat="1" ht="15" customHeight="1" thickBot="1">
      <c r="A472" s="273" t="s">
        <v>175</v>
      </c>
      <c r="B472" s="166"/>
      <c r="C472" s="464">
        <f>C461+C462+C463+C467</f>
        <v>2631905</v>
      </c>
      <c r="D472" s="363">
        <f>D461+D462+D463+D467</f>
        <v>2055721</v>
      </c>
      <c r="E472" s="86"/>
    </row>
    <row r="473" spans="1:5" ht="22.5" customHeight="1" thickBot="1" thickTop="1">
      <c r="A473" s="638"/>
      <c r="B473" s="639"/>
      <c r="C473" s="639"/>
      <c r="D473" s="640"/>
      <c r="E473" s="316"/>
    </row>
    <row r="474" spans="1:4" ht="48" customHeight="1" thickTop="1">
      <c r="A474" s="4" t="s">
        <v>117</v>
      </c>
      <c r="B474" s="5"/>
      <c r="C474" s="451" t="s">
        <v>2</v>
      </c>
      <c r="D474" s="305" t="s">
        <v>1</v>
      </c>
    </row>
    <row r="475" spans="1:4" ht="12" customHeight="1">
      <c r="A475" s="102" t="s">
        <v>119</v>
      </c>
      <c r="B475" s="71"/>
      <c r="C475" s="452">
        <v>15340</v>
      </c>
      <c r="D475" s="354">
        <v>0</v>
      </c>
    </row>
    <row r="476" spans="1:4" ht="12" customHeight="1">
      <c r="A476" s="70" t="s">
        <v>120</v>
      </c>
      <c r="B476" s="71"/>
      <c r="C476" s="452">
        <v>58767</v>
      </c>
      <c r="D476" s="354">
        <v>0</v>
      </c>
    </row>
    <row r="477" spans="1:4" ht="12" customHeight="1">
      <c r="A477" s="70" t="s">
        <v>121</v>
      </c>
      <c r="B477" s="71"/>
      <c r="C477" s="452">
        <f>SUM(C478:C480)</f>
        <v>66046</v>
      </c>
      <c r="D477" s="354">
        <f>SUM(D478:D480)</f>
        <v>28732</v>
      </c>
    </row>
    <row r="478" spans="1:4" ht="12" customHeight="1">
      <c r="A478" s="70" t="s">
        <v>1055</v>
      </c>
      <c r="B478" s="71"/>
      <c r="C478" s="452">
        <v>28810</v>
      </c>
      <c r="D478" s="354">
        <v>23135</v>
      </c>
    </row>
    <row r="479" spans="1:4" ht="12" customHeight="1">
      <c r="A479" s="70" t="s">
        <v>1056</v>
      </c>
      <c r="B479" s="71"/>
      <c r="C479" s="452">
        <v>32140</v>
      </c>
      <c r="D479" s="354">
        <v>1542</v>
      </c>
    </row>
    <row r="480" spans="1:4" s="41" customFormat="1" ht="12.75" customHeight="1">
      <c r="A480" s="70" t="s">
        <v>1057</v>
      </c>
      <c r="B480" s="71"/>
      <c r="C480" s="452">
        <v>5096</v>
      </c>
      <c r="D480" s="354">
        <v>4055</v>
      </c>
    </row>
    <row r="481" spans="1:5" s="60" customFormat="1" ht="36.75" customHeight="1" thickBot="1">
      <c r="A481" s="72" t="s">
        <v>118</v>
      </c>
      <c r="B481" s="73"/>
      <c r="C481" s="465">
        <f>SUM(C475:C477)</f>
        <v>140153</v>
      </c>
      <c r="D481" s="284">
        <f>SUM(D475:D477)</f>
        <v>28732</v>
      </c>
      <c r="E481" s="86"/>
    </row>
    <row r="482" spans="1:5" ht="24" customHeight="1" thickBot="1" thickTop="1">
      <c r="A482" s="78"/>
      <c r="B482" s="79"/>
      <c r="C482" s="79"/>
      <c r="D482" s="317"/>
      <c r="E482" s="316"/>
    </row>
    <row r="483" spans="1:4" ht="28.5" customHeight="1" thickTop="1">
      <c r="A483" s="4" t="s">
        <v>122</v>
      </c>
      <c r="B483" s="5"/>
      <c r="C483" s="451" t="s">
        <v>14</v>
      </c>
      <c r="D483" s="305" t="s">
        <v>13</v>
      </c>
    </row>
    <row r="484" spans="1:4" ht="12" customHeight="1">
      <c r="A484" s="102" t="s">
        <v>127</v>
      </c>
      <c r="B484" s="71"/>
      <c r="C484" s="452">
        <v>1188</v>
      </c>
      <c r="D484" s="354">
        <v>0</v>
      </c>
    </row>
    <row r="485" spans="1:4" ht="12" customHeight="1">
      <c r="A485" s="70" t="s">
        <v>128</v>
      </c>
      <c r="B485" s="71"/>
      <c r="C485" s="452">
        <v>121</v>
      </c>
      <c r="D485" s="354">
        <v>0</v>
      </c>
    </row>
    <row r="486" spans="1:4" ht="12" customHeight="1">
      <c r="A486" s="70" t="s">
        <v>129</v>
      </c>
      <c r="B486" s="71"/>
      <c r="C486" s="452">
        <f>SUM(C487:C489)</f>
        <v>32408</v>
      </c>
      <c r="D486" s="354">
        <f>SUM(D487:D489)</f>
        <v>29579</v>
      </c>
    </row>
    <row r="487" spans="1:4" ht="12" customHeight="1">
      <c r="A487" s="70" t="s">
        <v>1055</v>
      </c>
      <c r="B487" s="71"/>
      <c r="C487" s="452">
        <v>2750</v>
      </c>
      <c r="D487" s="354">
        <f>3610</f>
        <v>3610</v>
      </c>
    </row>
    <row r="488" spans="1:4" ht="12" customHeight="1">
      <c r="A488" s="70" t="s">
        <v>126</v>
      </c>
      <c r="B488" s="71"/>
      <c r="C488" s="452">
        <v>1845</v>
      </c>
      <c r="D488" s="354">
        <f>1526</f>
        <v>1526</v>
      </c>
    </row>
    <row r="489" spans="1:4" ht="12" customHeight="1">
      <c r="A489" s="70" t="s">
        <v>130</v>
      </c>
      <c r="B489" s="71"/>
      <c r="C489" s="452">
        <f>1292+26415+106</f>
        <v>27813</v>
      </c>
      <c r="D489" s="279">
        <f>24443</f>
        <v>24443</v>
      </c>
    </row>
    <row r="490" spans="1:5" ht="12" customHeight="1" thickBot="1">
      <c r="A490" s="72" t="s">
        <v>123</v>
      </c>
      <c r="B490" s="73"/>
      <c r="C490" s="426">
        <f>SUM(C484:C486)</f>
        <v>33717</v>
      </c>
      <c r="D490" s="288">
        <f>SUM(D484:D486)</f>
        <v>29579</v>
      </c>
      <c r="E490" s="8"/>
    </row>
    <row r="491" spans="1:5" ht="12" customHeight="1" thickBot="1" thickTop="1">
      <c r="A491" s="78"/>
      <c r="B491" s="79"/>
      <c r="C491" s="317"/>
      <c r="D491" s="317"/>
      <c r="E491" s="316"/>
    </row>
    <row r="492" spans="1:4" ht="33" customHeight="1" thickTop="1">
      <c r="A492" s="127" t="s">
        <v>131</v>
      </c>
      <c r="B492" s="21"/>
      <c r="C492" s="451" t="s">
        <v>11</v>
      </c>
      <c r="D492" s="305" t="s">
        <v>4</v>
      </c>
    </row>
    <row r="493" spans="1:4" ht="12" customHeight="1">
      <c r="A493" s="70" t="s">
        <v>448</v>
      </c>
      <c r="B493" s="71"/>
      <c r="C493" s="505">
        <v>29579</v>
      </c>
      <c r="D493" s="364">
        <v>20504</v>
      </c>
    </row>
    <row r="494" spans="1:4" ht="12" customHeight="1">
      <c r="A494" s="70" t="s">
        <v>796</v>
      </c>
      <c r="B494" s="71"/>
      <c r="C494" s="462">
        <f>C495</f>
        <v>29367</v>
      </c>
      <c r="D494" s="318">
        <f>D495</f>
        <v>18995</v>
      </c>
    </row>
    <row r="495" spans="1:4" ht="12" customHeight="1">
      <c r="A495" s="70" t="s">
        <v>15</v>
      </c>
      <c r="B495" s="71"/>
      <c r="C495" s="462">
        <v>29367</v>
      </c>
      <c r="D495" s="318">
        <f>18995</f>
        <v>18995</v>
      </c>
    </row>
    <row r="496" spans="1:4" s="41" customFormat="1" ht="12.75">
      <c r="A496" s="70" t="s">
        <v>135</v>
      </c>
      <c r="B496" s="71"/>
      <c r="C496" s="462">
        <f>C497</f>
        <v>1401</v>
      </c>
      <c r="D496" s="318">
        <f>D497</f>
        <v>1087</v>
      </c>
    </row>
    <row r="497" spans="1:4" s="8" customFormat="1" ht="12.75" customHeight="1">
      <c r="A497" s="70" t="s">
        <v>16</v>
      </c>
      <c r="B497" s="71"/>
      <c r="C497" s="462">
        <v>1401</v>
      </c>
      <c r="D497" s="318">
        <v>1087</v>
      </c>
    </row>
    <row r="498" spans="1:4" ht="13.5" customHeight="1">
      <c r="A498" s="70" t="s">
        <v>136</v>
      </c>
      <c r="B498" s="71"/>
      <c r="C498" s="462">
        <f>C499+C500</f>
        <v>23828</v>
      </c>
      <c r="D498" s="318">
        <f>D499</f>
        <v>8833</v>
      </c>
    </row>
    <row r="499" spans="1:4" ht="12.75" customHeight="1">
      <c r="A499" s="70" t="s">
        <v>17</v>
      </c>
      <c r="B499" s="71"/>
      <c r="C499" s="462">
        <v>22551</v>
      </c>
      <c r="D499" s="318">
        <f>8833</f>
        <v>8833</v>
      </c>
    </row>
    <row r="500" spans="1:4" ht="12.75" customHeight="1">
      <c r="A500" s="70" t="s">
        <v>833</v>
      </c>
      <c r="B500" s="272"/>
      <c r="C500" s="463">
        <v>1277</v>
      </c>
      <c r="D500" s="504">
        <v>0</v>
      </c>
    </row>
    <row r="501" spans="1:4" s="60" customFormat="1" ht="12" customHeight="1" thickBot="1">
      <c r="A501" s="72" t="s">
        <v>132</v>
      </c>
      <c r="B501" s="73"/>
      <c r="C501" s="466">
        <f>C493+C494-C496-C498</f>
        <v>33717</v>
      </c>
      <c r="D501" s="365">
        <f>D493+D494-D496-D498</f>
        <v>29579</v>
      </c>
    </row>
    <row r="502" spans="1:5" ht="12" customHeight="1" thickTop="1">
      <c r="A502" s="77"/>
      <c r="B502" s="59"/>
      <c r="C502" s="316"/>
      <c r="D502" s="316"/>
      <c r="E502" s="316"/>
    </row>
    <row r="503" spans="1:5" ht="18" customHeight="1" thickBot="1">
      <c r="A503" s="69" t="s">
        <v>176</v>
      </c>
      <c r="B503" s="59"/>
      <c r="C503" s="310"/>
      <c r="D503" s="310"/>
      <c r="E503" s="310"/>
    </row>
    <row r="504" spans="1:4" ht="36" customHeight="1" thickTop="1">
      <c r="A504" s="4" t="s">
        <v>177</v>
      </c>
      <c r="B504" s="21"/>
      <c r="C504" s="451" t="s">
        <v>2</v>
      </c>
      <c r="D504" s="305" t="s">
        <v>1</v>
      </c>
    </row>
    <row r="505" spans="1:4" ht="12" customHeight="1">
      <c r="A505" s="70" t="s">
        <v>178</v>
      </c>
      <c r="B505" s="71"/>
      <c r="C505" s="467">
        <v>12722</v>
      </c>
      <c r="D505" s="366">
        <v>0</v>
      </c>
    </row>
    <row r="506" spans="1:4" ht="12" customHeight="1">
      <c r="A506" s="70" t="s">
        <v>179</v>
      </c>
      <c r="B506" s="71"/>
      <c r="C506" s="467">
        <v>0</v>
      </c>
      <c r="D506" s="366">
        <v>0</v>
      </c>
    </row>
    <row r="507" spans="1:4" ht="12" customHeight="1">
      <c r="A507" s="80" t="s">
        <v>180</v>
      </c>
      <c r="B507" s="81"/>
      <c r="C507" s="468">
        <v>14</v>
      </c>
      <c r="D507" s="367">
        <v>0</v>
      </c>
    </row>
    <row r="508" spans="1:4" ht="27.75" customHeight="1" thickBot="1">
      <c r="A508" s="87" t="s">
        <v>181</v>
      </c>
      <c r="B508" s="83"/>
      <c r="C508" s="469">
        <f>SUM(C505:C507)</f>
        <v>12736</v>
      </c>
      <c r="D508" s="368">
        <f>SUM(D505:D507)</f>
        <v>0</v>
      </c>
    </row>
    <row r="509" spans="1:5" ht="12" customHeight="1" thickTop="1">
      <c r="A509" s="84"/>
      <c r="B509" s="85"/>
      <c r="C509" s="319"/>
      <c r="D509" s="319"/>
      <c r="E509" s="319"/>
    </row>
    <row r="510" spans="1:5" ht="12" customHeight="1" thickBot="1">
      <c r="A510" s="69" t="s">
        <v>182</v>
      </c>
      <c r="B510" s="59"/>
      <c r="C510" s="310"/>
      <c r="D510" s="310"/>
      <c r="E510" s="310"/>
    </row>
    <row r="511" spans="1:4" ht="21.75" customHeight="1" thickTop="1">
      <c r="A511" s="361" t="s">
        <v>183</v>
      </c>
      <c r="B511" s="21"/>
      <c r="C511" s="451" t="s">
        <v>2</v>
      </c>
      <c r="D511" s="305" t="s">
        <v>1</v>
      </c>
    </row>
    <row r="512" spans="1:4" ht="12" customHeight="1">
      <c r="A512" s="80" t="s">
        <v>184</v>
      </c>
      <c r="B512" s="81"/>
      <c r="C512" s="470">
        <v>160269</v>
      </c>
      <c r="D512" s="369">
        <v>555708</v>
      </c>
    </row>
    <row r="513" spans="1:4" ht="12" customHeight="1">
      <c r="A513" s="80" t="s">
        <v>185</v>
      </c>
      <c r="B513" s="81"/>
      <c r="C513" s="470">
        <v>0</v>
      </c>
      <c r="D513" s="369">
        <v>0</v>
      </c>
    </row>
    <row r="514" spans="1:4" ht="12" customHeight="1">
      <c r="A514" s="80" t="s">
        <v>186</v>
      </c>
      <c r="B514" s="81"/>
      <c r="C514" s="470">
        <v>0</v>
      </c>
      <c r="D514" s="369">
        <v>0</v>
      </c>
    </row>
    <row r="515" spans="1:4" s="41" customFormat="1" ht="12" customHeight="1">
      <c r="A515" s="80" t="s">
        <v>187</v>
      </c>
      <c r="B515" s="81"/>
      <c r="C515" s="470">
        <v>0</v>
      </c>
      <c r="D515" s="369">
        <v>0</v>
      </c>
    </row>
    <row r="516" spans="1:4" s="86" customFormat="1" ht="12.75" customHeight="1">
      <c r="A516" s="80" t="s">
        <v>193</v>
      </c>
      <c r="B516" s="81"/>
      <c r="C516" s="470">
        <v>0</v>
      </c>
      <c r="D516" s="369">
        <v>0</v>
      </c>
    </row>
    <row r="517" spans="1:4" ht="12.75" customHeight="1">
      <c r="A517" s="80" t="s">
        <v>194</v>
      </c>
      <c r="B517" s="81"/>
      <c r="C517" s="470">
        <v>0</v>
      </c>
      <c r="D517" s="369">
        <v>0</v>
      </c>
    </row>
    <row r="518" spans="1:4" ht="12" customHeight="1">
      <c r="A518" s="80" t="s">
        <v>195</v>
      </c>
      <c r="B518" s="81"/>
      <c r="C518" s="470">
        <v>4925</v>
      </c>
      <c r="D518" s="369">
        <v>0</v>
      </c>
    </row>
    <row r="519" spans="1:4" ht="12" customHeight="1">
      <c r="A519" s="80" t="s">
        <v>194</v>
      </c>
      <c r="B519" s="81"/>
      <c r="C519" s="470">
        <v>0</v>
      </c>
      <c r="D519" s="369">
        <v>0</v>
      </c>
    </row>
    <row r="520" spans="1:4" ht="12" customHeight="1">
      <c r="A520" s="80" t="s">
        <v>196</v>
      </c>
      <c r="B520" s="81"/>
      <c r="C520" s="470">
        <v>375834</v>
      </c>
      <c r="D520" s="369">
        <v>158114</v>
      </c>
    </row>
    <row r="521" spans="1:4" ht="12" customHeight="1">
      <c r="A521" s="80" t="s">
        <v>194</v>
      </c>
      <c r="B521" s="81"/>
      <c r="C521" s="470">
        <v>0</v>
      </c>
      <c r="D521" s="369">
        <v>0</v>
      </c>
    </row>
    <row r="522" spans="1:4" ht="12" customHeight="1">
      <c r="A522" s="80" t="s">
        <v>197</v>
      </c>
      <c r="B522" s="81"/>
      <c r="C522" s="470">
        <v>11158</v>
      </c>
      <c r="D522" s="369">
        <v>7489</v>
      </c>
    </row>
    <row r="523" spans="1:4" ht="12" customHeight="1">
      <c r="A523" s="80" t="s">
        <v>198</v>
      </c>
      <c r="B523" s="81"/>
      <c r="C523" s="470">
        <v>0</v>
      </c>
      <c r="D523" s="369">
        <v>0</v>
      </c>
    </row>
    <row r="524" spans="1:4" ht="11.25" customHeight="1">
      <c r="A524" s="80" t="s">
        <v>199</v>
      </c>
      <c r="B524" s="81"/>
      <c r="C524" s="470">
        <v>0</v>
      </c>
      <c r="D524" s="369">
        <v>0</v>
      </c>
    </row>
    <row r="525" spans="1:4" ht="11.25" customHeight="1" thickBot="1">
      <c r="A525" s="82" t="s">
        <v>200</v>
      </c>
      <c r="B525" s="83"/>
      <c r="C525" s="471">
        <f>C512+C514+C516+C518+C520+C522+C524</f>
        <v>552186</v>
      </c>
      <c r="D525" s="370">
        <f>D512+D514+D516+D518+D520+D522</f>
        <v>721311</v>
      </c>
    </row>
    <row r="526" spans="1:5" ht="11.25" customHeight="1" thickBot="1" thickTop="1">
      <c r="A526" s="84"/>
      <c r="B526" s="85"/>
      <c r="C526" s="319"/>
      <c r="D526" s="319"/>
      <c r="E526" s="319"/>
    </row>
    <row r="527" spans="1:4" ht="23.25" customHeight="1" thickTop="1">
      <c r="A527" s="361" t="s">
        <v>201</v>
      </c>
      <c r="B527" s="21"/>
      <c r="C527" s="451" t="s">
        <v>2</v>
      </c>
      <c r="D527" s="305" t="s">
        <v>1</v>
      </c>
    </row>
    <row r="528" spans="1:4" ht="11.25" customHeight="1">
      <c r="A528" s="22" t="s">
        <v>202</v>
      </c>
      <c r="B528" s="23"/>
      <c r="C528" s="472">
        <f>SUM(C529:C531)</f>
        <v>375834</v>
      </c>
      <c r="D528" s="371">
        <f>SUM(D529:D531)</f>
        <v>158114</v>
      </c>
    </row>
    <row r="529" spans="1:4" ht="11.25" customHeight="1">
      <c r="A529" s="22" t="s">
        <v>203</v>
      </c>
      <c r="B529" s="23"/>
      <c r="C529" s="472">
        <v>227947</v>
      </c>
      <c r="D529" s="371">
        <v>55754</v>
      </c>
    </row>
    <row r="530" spans="1:4" ht="11.25" customHeight="1">
      <c r="A530" s="22" t="s">
        <v>204</v>
      </c>
      <c r="B530" s="23"/>
      <c r="C530" s="472">
        <v>147887</v>
      </c>
      <c r="D530" s="371">
        <v>102360</v>
      </c>
    </row>
    <row r="531" spans="1:4" ht="11.25" customHeight="1">
      <c r="A531" s="22" t="s">
        <v>205</v>
      </c>
      <c r="B531" s="24"/>
      <c r="C531" s="472">
        <v>0</v>
      </c>
      <c r="D531" s="371">
        <v>0</v>
      </c>
    </row>
    <row r="532" spans="1:4" ht="11.25" customHeight="1">
      <c r="A532" s="22" t="s">
        <v>206</v>
      </c>
      <c r="B532" s="24"/>
      <c r="C532" s="472">
        <f>SUM(C533:C534)</f>
        <v>0</v>
      </c>
      <c r="D532" s="371">
        <v>0</v>
      </c>
    </row>
    <row r="533" spans="1:4" ht="11.25" customHeight="1">
      <c r="A533" s="22" t="s">
        <v>203</v>
      </c>
      <c r="B533" s="24"/>
      <c r="C533" s="472">
        <v>0</v>
      </c>
      <c r="D533" s="371">
        <v>0</v>
      </c>
    </row>
    <row r="534" spans="1:4" ht="11.25" customHeight="1">
      <c r="A534" s="22" t="s">
        <v>207</v>
      </c>
      <c r="B534" s="24"/>
      <c r="C534" s="472">
        <v>0</v>
      </c>
      <c r="D534" s="371">
        <v>0</v>
      </c>
    </row>
    <row r="535" spans="1:4" ht="11.25" customHeight="1">
      <c r="A535" s="22" t="s">
        <v>208</v>
      </c>
      <c r="B535" s="24"/>
      <c r="C535" s="472">
        <f>SUM(C536:C537)</f>
        <v>0</v>
      </c>
      <c r="D535" s="371">
        <v>0</v>
      </c>
    </row>
    <row r="536" spans="1:4" ht="11.25" customHeight="1">
      <c r="A536" s="22" t="s">
        <v>203</v>
      </c>
      <c r="B536" s="24"/>
      <c r="C536" s="472">
        <v>0</v>
      </c>
      <c r="D536" s="371">
        <v>0</v>
      </c>
    </row>
    <row r="537" spans="1:4" ht="11.25" customHeight="1">
      <c r="A537" s="22" t="s">
        <v>207</v>
      </c>
      <c r="B537" s="24"/>
      <c r="C537" s="472">
        <v>0</v>
      </c>
      <c r="D537" s="371">
        <v>0</v>
      </c>
    </row>
    <row r="538" spans="1:4" ht="11.25" customHeight="1">
      <c r="A538" s="22" t="s">
        <v>209</v>
      </c>
      <c r="B538" s="24"/>
      <c r="C538" s="472">
        <f>SUM(C539:C540)</f>
        <v>0</v>
      </c>
      <c r="D538" s="371">
        <v>0</v>
      </c>
    </row>
    <row r="539" spans="1:4" ht="11.25" customHeight="1">
      <c r="A539" s="22" t="s">
        <v>203</v>
      </c>
      <c r="B539" s="24"/>
      <c r="C539" s="472">
        <v>0</v>
      </c>
      <c r="D539" s="371">
        <v>0</v>
      </c>
    </row>
    <row r="540" spans="1:4" ht="11.25" customHeight="1">
      <c r="A540" s="22" t="s">
        <v>207</v>
      </c>
      <c r="B540" s="24"/>
      <c r="C540" s="472">
        <v>0</v>
      </c>
      <c r="D540" s="371">
        <v>0</v>
      </c>
    </row>
    <row r="541" spans="1:4" ht="11.25" customHeight="1">
      <c r="A541" s="22" t="s">
        <v>210</v>
      </c>
      <c r="B541" s="24"/>
      <c r="C541" s="472">
        <f>SUM(C542:C543)</f>
        <v>176352</v>
      </c>
      <c r="D541" s="371">
        <f>D542+D543</f>
        <v>563197</v>
      </c>
    </row>
    <row r="542" spans="1:4" ht="11.25" customHeight="1">
      <c r="A542" s="22" t="s">
        <v>203</v>
      </c>
      <c r="B542" s="24"/>
      <c r="C542" s="472">
        <f>11158+155280</f>
        <v>166438</v>
      </c>
      <c r="D542" s="371">
        <v>7489</v>
      </c>
    </row>
    <row r="543" spans="1:4" ht="11.25" customHeight="1">
      <c r="A543" s="22" t="s">
        <v>207</v>
      </c>
      <c r="B543" s="24"/>
      <c r="C543" s="472">
        <f>C544+C545</f>
        <v>9914</v>
      </c>
      <c r="D543" s="371">
        <f>D544</f>
        <v>555708</v>
      </c>
    </row>
    <row r="544" spans="1:4" ht="11.25" customHeight="1">
      <c r="A544" s="20" t="s">
        <v>18</v>
      </c>
      <c r="B544" s="24"/>
      <c r="C544" s="472">
        <v>4989</v>
      </c>
      <c r="D544" s="371">
        <v>555708</v>
      </c>
    </row>
    <row r="545" spans="1:4" ht="11.25" customHeight="1">
      <c r="A545" s="20" t="s">
        <v>146</v>
      </c>
      <c r="B545" s="30"/>
      <c r="C545" s="474">
        <v>4925</v>
      </c>
      <c r="D545" s="497">
        <v>0</v>
      </c>
    </row>
    <row r="546" spans="1:5" ht="12.75" customHeight="1" thickBot="1">
      <c r="A546" s="31" t="s">
        <v>200</v>
      </c>
      <c r="B546" s="61"/>
      <c r="C546" s="473">
        <f>C528+C532+C535+C538+C541</f>
        <v>552186</v>
      </c>
      <c r="D546" s="372">
        <f>D528+D532+D535+D538+D541</f>
        <v>721311</v>
      </c>
      <c r="E546" s="8"/>
    </row>
    <row r="547" spans="1:5" ht="11.25" customHeight="1" thickBot="1" thickTop="1">
      <c r="A547" s="30"/>
      <c r="B547" s="30"/>
      <c r="C547" s="320"/>
      <c r="D547" s="320"/>
      <c r="E547" s="274"/>
    </row>
    <row r="548" spans="1:4" ht="22.5" customHeight="1" thickTop="1">
      <c r="A548" s="361" t="s">
        <v>183</v>
      </c>
      <c r="B548" s="21"/>
      <c r="C548" s="451" t="s">
        <v>2</v>
      </c>
      <c r="D548" s="305" t="s">
        <v>1</v>
      </c>
    </row>
    <row r="549" spans="1:4" ht="11.25" customHeight="1">
      <c r="A549" s="22" t="s">
        <v>211</v>
      </c>
      <c r="B549" s="24"/>
      <c r="C549" s="472">
        <v>0</v>
      </c>
      <c r="D549" s="371">
        <v>0</v>
      </c>
    </row>
    <row r="550" spans="1:4" ht="11.25" customHeight="1">
      <c r="A550" s="22" t="s">
        <v>212</v>
      </c>
      <c r="B550" s="24"/>
      <c r="C550" s="472">
        <v>252844</v>
      </c>
      <c r="D550" s="371">
        <v>93466</v>
      </c>
    </row>
    <row r="551" spans="1:4" ht="11.25" customHeight="1">
      <c r="A551" s="22" t="s">
        <v>213</v>
      </c>
      <c r="B551" s="24"/>
      <c r="C551" s="472">
        <v>299342</v>
      </c>
      <c r="D551" s="371">
        <v>627845</v>
      </c>
    </row>
    <row r="552" spans="1:4" ht="11.25" customHeight="1" thickBot="1">
      <c r="A552" s="31" t="s">
        <v>200</v>
      </c>
      <c r="B552" s="61"/>
      <c r="C552" s="473">
        <f>SUM(C549:C551)</f>
        <v>552186</v>
      </c>
      <c r="D552" s="372">
        <f>SUM(D549:D551)</f>
        <v>721311</v>
      </c>
    </row>
    <row r="553" spans="1:4" ht="11.25" customHeight="1" thickTop="1">
      <c r="A553" s="33"/>
      <c r="B553" s="33"/>
      <c r="C553" s="511"/>
      <c r="D553" s="511"/>
    </row>
    <row r="554" spans="1:4" s="41" customFormat="1" ht="12.75">
      <c r="A554" s="547" t="s">
        <v>869</v>
      </c>
      <c r="B554" s="33"/>
      <c r="C554" s="511"/>
      <c r="D554" s="511"/>
    </row>
    <row r="555" spans="1:4" s="41" customFormat="1" ht="12.75">
      <c r="A555" s="547" t="s">
        <v>864</v>
      </c>
      <c r="B555" s="33"/>
      <c r="C555" s="511"/>
      <c r="D555" s="511"/>
    </row>
    <row r="556" spans="1:4" s="41" customFormat="1" ht="12.75">
      <c r="A556" s="547" t="s">
        <v>865</v>
      </c>
      <c r="B556" s="33"/>
      <c r="C556" s="511"/>
      <c r="D556" s="511"/>
    </row>
    <row r="557" spans="1:4" s="41" customFormat="1" ht="12.75">
      <c r="A557" s="548" t="s">
        <v>866</v>
      </c>
      <c r="B557" s="33"/>
      <c r="C557" s="511"/>
      <c r="D557" s="511"/>
    </row>
    <row r="558" spans="1:4" s="41" customFormat="1" ht="12.75">
      <c r="A558" s="547" t="s">
        <v>867</v>
      </c>
      <c r="B558" s="33"/>
      <c r="C558" s="511"/>
      <c r="D558" s="511"/>
    </row>
    <row r="559" spans="1:4" s="41" customFormat="1" ht="12.75">
      <c r="A559" s="547"/>
      <c r="B559" s="33"/>
      <c r="C559" s="511"/>
      <c r="D559" s="511"/>
    </row>
    <row r="560" spans="1:4" s="41" customFormat="1" ht="12.75">
      <c r="A560" s="547" t="s">
        <v>870</v>
      </c>
      <c r="B560" s="33"/>
      <c r="C560" s="511"/>
      <c r="D560" s="511"/>
    </row>
    <row r="561" spans="1:4" s="41" customFormat="1" ht="12.75">
      <c r="A561" s="547" t="s">
        <v>871</v>
      </c>
      <c r="B561" s="33"/>
      <c r="C561" s="511"/>
      <c r="D561" s="511"/>
    </row>
    <row r="562" spans="1:4" s="41" customFormat="1" ht="12.75">
      <c r="A562" s="547" t="s">
        <v>868</v>
      </c>
      <c r="B562" s="33"/>
      <c r="C562" s="511"/>
      <c r="D562" s="511"/>
    </row>
    <row r="563" spans="1:4" s="41" customFormat="1" ht="12.75">
      <c r="A563" s="547"/>
      <c r="B563" s="33"/>
      <c r="C563" s="511"/>
      <c r="D563" s="511"/>
    </row>
    <row r="564" spans="1:4" s="41" customFormat="1" ht="12.75">
      <c r="A564" s="547" t="s">
        <v>872</v>
      </c>
      <c r="B564" s="33"/>
      <c r="C564" s="511"/>
      <c r="D564" s="511"/>
    </row>
    <row r="565" spans="1:4" s="41" customFormat="1" ht="12.75">
      <c r="A565" s="547" t="s">
        <v>167</v>
      </c>
      <c r="B565" s="33"/>
      <c r="C565" s="511"/>
      <c r="D565" s="511"/>
    </row>
    <row r="566" spans="1:4" s="41" customFormat="1" ht="12.75">
      <c r="A566" s="547" t="s">
        <v>873</v>
      </c>
      <c r="B566" s="33"/>
      <c r="C566" s="511"/>
      <c r="D566" s="511"/>
    </row>
    <row r="567" spans="1:4" s="41" customFormat="1" ht="12.75">
      <c r="A567" s="547"/>
      <c r="B567" s="33"/>
      <c r="C567" s="511"/>
      <c r="D567" s="511"/>
    </row>
    <row r="568" spans="1:5" ht="11.25" customHeight="1" thickBot="1">
      <c r="A568" s="32"/>
      <c r="B568" s="32"/>
      <c r="C568" s="274"/>
      <c r="D568" s="274"/>
      <c r="E568" s="274"/>
    </row>
    <row r="569" spans="1:4" s="41" customFormat="1" ht="36" customHeight="1" thickTop="1">
      <c r="A569" s="361" t="s">
        <v>214</v>
      </c>
      <c r="B569" s="21"/>
      <c r="C569" s="451" t="s">
        <v>11</v>
      </c>
      <c r="D569" s="305" t="s">
        <v>4</v>
      </c>
    </row>
    <row r="570" spans="1:4" s="8" customFormat="1" ht="12.75" customHeight="1">
      <c r="A570" s="22" t="s">
        <v>215</v>
      </c>
      <c r="B570" s="24"/>
      <c r="C570" s="472">
        <v>721311</v>
      </c>
      <c r="D570" s="371">
        <v>327546</v>
      </c>
    </row>
    <row r="571" spans="1:4" s="60" customFormat="1" ht="12.75">
      <c r="A571" s="22" t="s">
        <v>216</v>
      </c>
      <c r="B571" s="24"/>
      <c r="C571" s="472">
        <f>SUM(C572:C574)</f>
        <v>9397300</v>
      </c>
      <c r="D571" s="371">
        <f>SUM(D572:D574)</f>
        <v>7473665</v>
      </c>
    </row>
    <row r="572" spans="1:4" ht="12.75" customHeight="1">
      <c r="A572" s="20" t="s">
        <v>19</v>
      </c>
      <c r="B572" s="24"/>
      <c r="C572" s="472">
        <v>9275957</v>
      </c>
      <c r="D572" s="371">
        <f>7339415+4000</f>
        <v>7343415</v>
      </c>
    </row>
    <row r="573" spans="1:4" ht="12" customHeight="1">
      <c r="A573" s="20" t="s">
        <v>20</v>
      </c>
      <c r="B573" s="24"/>
      <c r="C573" s="472">
        <v>120610</v>
      </c>
      <c r="D573" s="371">
        <v>130250</v>
      </c>
    </row>
    <row r="574" spans="1:4" ht="12" customHeight="1">
      <c r="A574" s="20" t="s">
        <v>147</v>
      </c>
      <c r="B574" s="24"/>
      <c r="C574" s="472">
        <v>733</v>
      </c>
      <c r="D574" s="371">
        <v>0</v>
      </c>
    </row>
    <row r="575" spans="1:4" ht="12" customHeight="1">
      <c r="A575" s="22" t="s">
        <v>217</v>
      </c>
      <c r="B575" s="24"/>
      <c r="C575" s="472">
        <f>SUM(C576:C578)</f>
        <v>9566425</v>
      </c>
      <c r="D575" s="371">
        <f>SUM(D576:D578)</f>
        <v>7079900</v>
      </c>
    </row>
    <row r="576" spans="1:4" s="41" customFormat="1" ht="12" customHeight="1">
      <c r="A576" s="20" t="s">
        <v>21</v>
      </c>
      <c r="B576" s="24"/>
      <c r="C576" s="472">
        <v>9453210</v>
      </c>
      <c r="D576" s="371">
        <f>6951579+1200</f>
        <v>6952779</v>
      </c>
    </row>
    <row r="577" spans="1:4" s="8" customFormat="1" ht="12.75" customHeight="1">
      <c r="A577" s="20" t="s">
        <v>22</v>
      </c>
      <c r="B577" s="24"/>
      <c r="C577" s="472">
        <v>112394</v>
      </c>
      <c r="D577" s="371">
        <v>127121</v>
      </c>
    </row>
    <row r="578" spans="1:4" ht="12.75" customHeight="1">
      <c r="A578" s="20" t="s">
        <v>147</v>
      </c>
      <c r="B578" s="24"/>
      <c r="C578" s="472">
        <v>821</v>
      </c>
      <c r="D578" s="371">
        <v>0</v>
      </c>
    </row>
    <row r="579" spans="1:4" ht="12" customHeight="1" thickBot="1">
      <c r="A579" s="31" t="s">
        <v>218</v>
      </c>
      <c r="B579" s="61"/>
      <c r="C579" s="473">
        <f>C570+C571-C575</f>
        <v>552186</v>
      </c>
      <c r="D579" s="372">
        <f>D570+D571-D575</f>
        <v>721311</v>
      </c>
    </row>
    <row r="580" spans="1:5" ht="6.75" customHeight="1" thickTop="1">
      <c r="A580" s="32"/>
      <c r="B580" s="32"/>
      <c r="C580" s="274"/>
      <c r="D580" s="274"/>
      <c r="E580" s="274"/>
    </row>
    <row r="581" spans="1:5" ht="12" customHeight="1" thickBot="1">
      <c r="A581" s="69" t="s">
        <v>219</v>
      </c>
      <c r="B581" s="59"/>
      <c r="C581" s="310"/>
      <c r="D581" s="310"/>
      <c r="E581" s="310"/>
    </row>
    <row r="582" spans="1:4" ht="26.25" customHeight="1" thickTop="1">
      <c r="A582" s="361" t="s">
        <v>220</v>
      </c>
      <c r="B582" s="21"/>
      <c r="C582" s="451" t="s">
        <v>2</v>
      </c>
      <c r="D582" s="305" t="s">
        <v>1</v>
      </c>
    </row>
    <row r="583" spans="1:4" ht="12" customHeight="1">
      <c r="A583" s="22" t="s">
        <v>221</v>
      </c>
      <c r="B583" s="23"/>
      <c r="C583" s="472">
        <v>0</v>
      </c>
      <c r="D583" s="371">
        <v>0</v>
      </c>
    </row>
    <row r="584" spans="1:4" ht="12" customHeight="1">
      <c r="A584" s="22" t="s">
        <v>222</v>
      </c>
      <c r="B584" s="23"/>
      <c r="C584" s="472">
        <v>12750</v>
      </c>
      <c r="D584" s="371">
        <v>7750</v>
      </c>
    </row>
    <row r="585" spans="1:4" ht="12" customHeight="1">
      <c r="A585" s="22" t="s">
        <v>223</v>
      </c>
      <c r="B585" s="23"/>
      <c r="C585" s="472">
        <v>0</v>
      </c>
      <c r="D585" s="371">
        <v>0</v>
      </c>
    </row>
    <row r="586" spans="1:4" ht="12" customHeight="1" thickBot="1">
      <c r="A586" s="31" t="s">
        <v>225</v>
      </c>
      <c r="B586" s="62"/>
      <c r="C586" s="473">
        <f>SUM(C583:C585)</f>
        <v>12750</v>
      </c>
      <c r="D586" s="372">
        <f>SUM(D583:D585)</f>
        <v>7750</v>
      </c>
    </row>
    <row r="587" spans="1:4" ht="12" customHeight="1" thickBot="1" thickTop="1">
      <c r="A587" s="32"/>
      <c r="B587" s="25"/>
      <c r="C587" s="274"/>
      <c r="D587" s="274"/>
    </row>
    <row r="588" spans="1:4" s="41" customFormat="1" ht="35.25" customHeight="1" thickTop="1">
      <c r="A588" s="361" t="s">
        <v>226</v>
      </c>
      <c r="B588" s="21"/>
      <c r="C588" s="451" t="s">
        <v>11</v>
      </c>
      <c r="D588" s="305" t="s">
        <v>4</v>
      </c>
    </row>
    <row r="589" spans="1:4" s="8" customFormat="1" ht="12.75">
      <c r="A589" s="22" t="s">
        <v>227</v>
      </c>
      <c r="B589" s="23"/>
      <c r="C589" s="474">
        <v>7750</v>
      </c>
      <c r="D589" s="371">
        <v>4750</v>
      </c>
    </row>
    <row r="590" spans="1:4" ht="12.75" customHeight="1">
      <c r="A590" s="22" t="s">
        <v>796</v>
      </c>
      <c r="B590" s="23"/>
      <c r="C590" s="474">
        <f>C591</f>
        <v>5000</v>
      </c>
      <c r="D590" s="371">
        <f>D591</f>
        <v>3000</v>
      </c>
    </row>
    <row r="591" spans="1:4" ht="12.75">
      <c r="A591" s="20" t="s">
        <v>23</v>
      </c>
      <c r="B591" s="23"/>
      <c r="C591" s="474">
        <v>5000</v>
      </c>
      <c r="D591" s="371">
        <v>3000</v>
      </c>
    </row>
    <row r="592" spans="1:4" ht="12.75">
      <c r="A592" s="22" t="s">
        <v>798</v>
      </c>
      <c r="B592" s="23"/>
      <c r="C592" s="474">
        <v>0</v>
      </c>
      <c r="D592" s="371">
        <v>0</v>
      </c>
    </row>
    <row r="593" spans="1:4" ht="13.5" thickBot="1">
      <c r="A593" s="31" t="s">
        <v>228</v>
      </c>
      <c r="B593" s="62"/>
      <c r="C593" s="473">
        <f>C589+C590-C592</f>
        <v>12750</v>
      </c>
      <c r="D593" s="372">
        <f>D589+D590-D592</f>
        <v>7750</v>
      </c>
    </row>
    <row r="594" spans="1:4" ht="16.5" customHeight="1" thickBot="1" thickTop="1">
      <c r="A594" s="32"/>
      <c r="B594" s="25"/>
      <c r="C594" s="274"/>
      <c r="D594" s="274"/>
    </row>
    <row r="595" spans="1:4" ht="21.75" customHeight="1" thickTop="1">
      <c r="A595" s="361" t="s">
        <v>220</v>
      </c>
      <c r="B595" s="21"/>
      <c r="C595" s="451" t="s">
        <v>2</v>
      </c>
      <c r="D595" s="305" t="s">
        <v>1</v>
      </c>
    </row>
    <row r="596" spans="1:4" s="41" customFormat="1" ht="12.75" customHeight="1">
      <c r="A596" s="22" t="s">
        <v>211</v>
      </c>
      <c r="B596" s="23"/>
      <c r="C596" s="472">
        <v>0</v>
      </c>
      <c r="D596" s="371">
        <v>0</v>
      </c>
    </row>
    <row r="597" spans="1:4" s="8" customFormat="1" ht="12.75">
      <c r="A597" s="22" t="s">
        <v>212</v>
      </c>
      <c r="B597" s="23"/>
      <c r="C597" s="472">
        <v>0</v>
      </c>
      <c r="D597" s="371">
        <v>0</v>
      </c>
    </row>
    <row r="598" spans="1:4" ht="12.75" customHeight="1">
      <c r="A598" s="22" t="s">
        <v>213</v>
      </c>
      <c r="B598" s="23"/>
      <c r="C598" s="472">
        <v>12750</v>
      </c>
      <c r="D598" s="371">
        <v>7750</v>
      </c>
    </row>
    <row r="599" spans="1:4" ht="12.75" customHeight="1" thickBot="1">
      <c r="A599" s="31" t="s">
        <v>225</v>
      </c>
      <c r="B599" s="62"/>
      <c r="C599" s="473">
        <f>SUM(C596:C598)</f>
        <v>12750</v>
      </c>
      <c r="D599" s="372">
        <f>SUM(D596:D598)</f>
        <v>7750</v>
      </c>
    </row>
    <row r="600" spans="1:4" ht="5.25" customHeight="1" thickTop="1">
      <c r="A600" s="32"/>
      <c r="B600" s="25"/>
      <c r="C600" s="274"/>
      <c r="D600" s="274"/>
    </row>
    <row r="601" spans="1:4" ht="12.75" customHeight="1" thickBot="1">
      <c r="A601" s="69" t="s">
        <v>229</v>
      </c>
      <c r="B601" s="59"/>
      <c r="C601" s="310"/>
      <c r="D601" s="310"/>
    </row>
    <row r="602" spans="1:4" ht="22.5" customHeight="1" thickTop="1">
      <c r="A602" s="361" t="s">
        <v>230</v>
      </c>
      <c r="B602" s="21"/>
      <c r="C602" s="451" t="s">
        <v>2</v>
      </c>
      <c r="D602" s="305" t="s">
        <v>1</v>
      </c>
    </row>
    <row r="603" spans="1:4" ht="12.75" customHeight="1">
      <c r="A603" s="22" t="s">
        <v>221</v>
      </c>
      <c r="B603" s="23"/>
      <c r="C603" s="472">
        <v>0</v>
      </c>
      <c r="D603" s="371">
        <v>0</v>
      </c>
    </row>
    <row r="604" spans="1:4" ht="12.75" customHeight="1">
      <c r="A604" s="22" t="s">
        <v>222</v>
      </c>
      <c r="B604" s="23"/>
      <c r="C604" s="472">
        <f>25981+2243</f>
        <v>28224</v>
      </c>
      <c r="D604" s="371">
        <v>2243</v>
      </c>
    </row>
    <row r="605" spans="1:4" ht="12.75" customHeight="1">
      <c r="A605" s="22" t="s">
        <v>223</v>
      </c>
      <c r="B605" s="23"/>
      <c r="C605" s="472">
        <f>2268-2243</f>
        <v>25</v>
      </c>
      <c r="D605" s="371">
        <f>2268-2243</f>
        <v>25</v>
      </c>
    </row>
    <row r="606" spans="1:4" ht="12.75" customHeight="1" thickBot="1">
      <c r="A606" s="31" t="s">
        <v>231</v>
      </c>
      <c r="B606" s="62"/>
      <c r="C606" s="473">
        <f>SUM(C603:C605)</f>
        <v>28249</v>
      </c>
      <c r="D606" s="372">
        <f>SUM(D603:D605)</f>
        <v>2268</v>
      </c>
    </row>
    <row r="607" spans="1:4" ht="12.75" customHeight="1" thickBot="1" thickTop="1">
      <c r="A607" s="32"/>
      <c r="B607" s="25"/>
      <c r="C607" s="274"/>
      <c r="D607" s="274"/>
    </row>
    <row r="608" spans="1:4" s="41" customFormat="1" ht="36" customHeight="1" thickTop="1">
      <c r="A608" s="361" t="s">
        <v>232</v>
      </c>
      <c r="B608" s="21"/>
      <c r="C608" s="451" t="s">
        <v>11</v>
      </c>
      <c r="D608" s="305" t="s">
        <v>4</v>
      </c>
    </row>
    <row r="609" spans="1:4" s="8" customFormat="1" ht="12.75">
      <c r="A609" s="22" t="s">
        <v>227</v>
      </c>
      <c r="B609" s="23"/>
      <c r="C609" s="472">
        <v>2268</v>
      </c>
      <c r="D609" s="371">
        <v>2242</v>
      </c>
    </row>
    <row r="610" spans="1:4" ht="12.75" customHeight="1">
      <c r="A610" s="22" t="s">
        <v>796</v>
      </c>
      <c r="B610" s="23"/>
      <c r="C610" s="472">
        <f>C611</f>
        <v>26112</v>
      </c>
      <c r="D610" s="371">
        <f>D611</f>
        <v>277</v>
      </c>
    </row>
    <row r="611" spans="1:4" ht="12.75" customHeight="1">
      <c r="A611" s="20" t="s">
        <v>23</v>
      </c>
      <c r="B611" s="23"/>
      <c r="C611" s="472">
        <v>26112</v>
      </c>
      <c r="D611" s="371">
        <v>277</v>
      </c>
    </row>
    <row r="612" spans="1:4" ht="12.75" customHeight="1">
      <c r="A612" s="22" t="s">
        <v>798</v>
      </c>
      <c r="B612" s="23"/>
      <c r="C612" s="472">
        <f>C613</f>
        <v>131</v>
      </c>
      <c r="D612" s="371">
        <f>D613</f>
        <v>251</v>
      </c>
    </row>
    <row r="613" spans="1:4" ht="12.75" customHeight="1">
      <c r="A613" s="20" t="s">
        <v>24</v>
      </c>
      <c r="B613" s="23"/>
      <c r="C613" s="472">
        <v>131</v>
      </c>
      <c r="D613" s="371">
        <v>251</v>
      </c>
    </row>
    <row r="614" spans="1:4" s="41" customFormat="1" ht="12.75" customHeight="1" thickBot="1">
      <c r="A614" s="31" t="s">
        <v>233</v>
      </c>
      <c r="B614" s="62"/>
      <c r="C614" s="473">
        <f>C609+C610-C612</f>
        <v>28249</v>
      </c>
      <c r="D614" s="372">
        <f>D609+D610-D612</f>
        <v>2268</v>
      </c>
    </row>
    <row r="615" spans="1:4" s="60" customFormat="1" ht="14.25" thickBot="1" thickTop="1">
      <c r="A615" s="32"/>
      <c r="B615" s="25"/>
      <c r="C615" s="274"/>
      <c r="D615" s="274"/>
    </row>
    <row r="616" spans="1:4" ht="22.5" customHeight="1" thickTop="1">
      <c r="A616" s="361" t="s">
        <v>230</v>
      </c>
      <c r="B616" s="21"/>
      <c r="C616" s="451" t="s">
        <v>2</v>
      </c>
      <c r="D616" s="305" t="s">
        <v>1</v>
      </c>
    </row>
    <row r="617" spans="1:4" ht="12.75" customHeight="1">
      <c r="A617" s="22" t="s">
        <v>211</v>
      </c>
      <c r="B617" s="23"/>
      <c r="C617" s="472">
        <v>0</v>
      </c>
      <c r="D617" s="371">
        <v>0</v>
      </c>
    </row>
    <row r="618" spans="1:4" ht="12.75" customHeight="1">
      <c r="A618" s="22" t="s">
        <v>212</v>
      </c>
      <c r="B618" s="23"/>
      <c r="C618" s="472">
        <v>0</v>
      </c>
      <c r="D618" s="371">
        <v>0</v>
      </c>
    </row>
    <row r="619" spans="1:4" ht="12.75" customHeight="1">
      <c r="A619" s="22" t="s">
        <v>213</v>
      </c>
      <c r="B619" s="23"/>
      <c r="C619" s="472">
        <v>28249</v>
      </c>
      <c r="D619" s="371">
        <v>2268</v>
      </c>
    </row>
    <row r="620" spans="1:4" s="41" customFormat="1" ht="12.75" customHeight="1" thickBot="1">
      <c r="A620" s="31" t="s">
        <v>231</v>
      </c>
      <c r="B620" s="62"/>
      <c r="C620" s="473">
        <f>SUM(C617:C619)</f>
        <v>28249</v>
      </c>
      <c r="D620" s="372">
        <f>SUM(D617:D619)</f>
        <v>2268</v>
      </c>
    </row>
    <row r="621" spans="1:5" s="8" customFormat="1" ht="13.5" thickTop="1">
      <c r="A621" s="89"/>
      <c r="B621" s="85"/>
      <c r="C621" s="85"/>
      <c r="D621" s="319"/>
      <c r="E621" s="319"/>
    </row>
    <row r="622" spans="1:5" ht="24" customHeight="1" thickBot="1">
      <c r="A622" s="69" t="s">
        <v>234</v>
      </c>
      <c r="B622" s="59"/>
      <c r="C622" s="59"/>
      <c r="D622" s="310"/>
      <c r="E622" s="310"/>
    </row>
    <row r="623" spans="1:4" ht="12.75" customHeight="1" thickBot="1" thickTop="1">
      <c r="A623" s="128" t="s">
        <v>235</v>
      </c>
      <c r="B623" s="169" t="s">
        <v>236</v>
      </c>
      <c r="C623" s="169"/>
      <c r="D623" s="321"/>
    </row>
    <row r="624" spans="1:5" ht="18.75" customHeight="1" thickTop="1">
      <c r="A624" s="84"/>
      <c r="B624" s="85"/>
      <c r="C624" s="85"/>
      <c r="D624" s="319"/>
      <c r="E624" s="319"/>
    </row>
    <row r="625" spans="1:5" ht="12.75" customHeight="1" thickBot="1">
      <c r="A625" s="69" t="s">
        <v>237</v>
      </c>
      <c r="B625" s="59"/>
      <c r="C625" s="59"/>
      <c r="D625" s="310"/>
      <c r="E625" s="310"/>
    </row>
    <row r="626" spans="1:4" ht="21.75" customHeight="1" thickTop="1">
      <c r="A626" s="361" t="s">
        <v>238</v>
      </c>
      <c r="B626" s="21"/>
      <c r="C626" s="451" t="s">
        <v>2</v>
      </c>
      <c r="D626" s="305" t="s">
        <v>1</v>
      </c>
    </row>
    <row r="627" spans="1:4" ht="12.75" customHeight="1">
      <c r="A627" s="22" t="s">
        <v>221</v>
      </c>
      <c r="B627" s="23"/>
      <c r="C627" s="472">
        <v>271</v>
      </c>
      <c r="D627" s="371">
        <v>1769</v>
      </c>
    </row>
    <row r="628" spans="1:4" ht="12.75" customHeight="1">
      <c r="A628" s="22" t="s">
        <v>222</v>
      </c>
      <c r="B628" s="23"/>
      <c r="C628" s="472">
        <v>702</v>
      </c>
      <c r="D628" s="371">
        <v>702</v>
      </c>
    </row>
    <row r="629" spans="1:4" ht="12.75" customHeight="1">
      <c r="A629" s="22" t="s">
        <v>223</v>
      </c>
      <c r="B629" s="23"/>
      <c r="C629" s="472">
        <f>7429+8014</f>
        <v>15443</v>
      </c>
      <c r="D629" s="371">
        <v>17461</v>
      </c>
    </row>
    <row r="630" spans="1:4" ht="12.75" customHeight="1" thickBot="1">
      <c r="A630" s="31" t="s">
        <v>239</v>
      </c>
      <c r="B630" s="62"/>
      <c r="C630" s="473">
        <f>SUM(C627:C629)</f>
        <v>16416</v>
      </c>
      <c r="D630" s="372">
        <f>SUM(D627:D629)</f>
        <v>19932</v>
      </c>
    </row>
    <row r="631" spans="1:4" ht="12.75" customHeight="1" thickBot="1" thickTop="1">
      <c r="A631" s="32"/>
      <c r="B631" s="25"/>
      <c r="C631" s="25"/>
      <c r="D631" s="274"/>
    </row>
    <row r="632" spans="1:4" s="41" customFormat="1" ht="33" customHeight="1" thickTop="1">
      <c r="A632" s="361" t="s">
        <v>240</v>
      </c>
      <c r="B632" s="21"/>
      <c r="C632" s="451" t="s">
        <v>11</v>
      </c>
      <c r="D632" s="305" t="s">
        <v>4</v>
      </c>
    </row>
    <row r="633" spans="1:4" s="8" customFormat="1" ht="12.75">
      <c r="A633" s="22" t="s">
        <v>227</v>
      </c>
      <c r="B633" s="23"/>
      <c r="C633" s="472">
        <v>19932</v>
      </c>
      <c r="D633" s="371">
        <v>12103</v>
      </c>
    </row>
    <row r="634" spans="1:4" ht="12.75" customHeight="1">
      <c r="A634" s="22" t="s">
        <v>796</v>
      </c>
      <c r="B634" s="23"/>
      <c r="C634" s="472">
        <f>SUM(C635:C637)</f>
        <v>31672</v>
      </c>
      <c r="D634" s="371">
        <f>SUM(D635:D637)</f>
        <v>29953</v>
      </c>
    </row>
    <row r="635" spans="1:4" ht="12.75">
      <c r="A635" s="20" t="s">
        <v>23</v>
      </c>
      <c r="B635" s="23"/>
      <c r="C635" s="472">
        <v>28485</v>
      </c>
      <c r="D635" s="371">
        <v>28227</v>
      </c>
    </row>
    <row r="636" spans="1:4" ht="12.75">
      <c r="A636" s="20" t="s">
        <v>25</v>
      </c>
      <c r="B636" s="23"/>
      <c r="C636" s="472">
        <f>3187-683</f>
        <v>2504</v>
      </c>
      <c r="D636" s="371">
        <v>457</v>
      </c>
    </row>
    <row r="637" spans="1:4" ht="12.75">
      <c r="A637" s="20" t="s">
        <v>29</v>
      </c>
      <c r="B637" s="23"/>
      <c r="C637" s="472">
        <v>683</v>
      </c>
      <c r="D637" s="371">
        <v>1269</v>
      </c>
    </row>
    <row r="638" spans="1:4" s="41" customFormat="1" ht="12.75">
      <c r="A638" s="22" t="s">
        <v>798</v>
      </c>
      <c r="B638" s="23"/>
      <c r="C638" s="472">
        <f>SUM(C639:C641)</f>
        <v>35188</v>
      </c>
      <c r="D638" s="371">
        <f>SUM(D639:D641)</f>
        <v>22124</v>
      </c>
    </row>
    <row r="639" spans="1:4" ht="12.75">
      <c r="A639" s="20" t="s">
        <v>26</v>
      </c>
      <c r="B639" s="23"/>
      <c r="C639" s="472">
        <v>34120</v>
      </c>
      <c r="D639" s="371">
        <v>18936</v>
      </c>
    </row>
    <row r="640" spans="1:4" ht="12.75">
      <c r="A640" s="20" t="s">
        <v>27</v>
      </c>
      <c r="B640" s="23"/>
      <c r="C640" s="472">
        <v>682</v>
      </c>
      <c r="D640" s="371">
        <v>684</v>
      </c>
    </row>
    <row r="641" spans="1:4" ht="12.75" customHeight="1">
      <c r="A641" s="20" t="s">
        <v>28</v>
      </c>
      <c r="B641" s="23"/>
      <c r="C641" s="472">
        <f>75+311</f>
        <v>386</v>
      </c>
      <c r="D641" s="371">
        <v>2504</v>
      </c>
    </row>
    <row r="642" spans="1:4" s="60" customFormat="1" ht="13.5" thickBot="1">
      <c r="A642" s="31" t="s">
        <v>241</v>
      </c>
      <c r="B642" s="62"/>
      <c r="C642" s="473">
        <f>C633+C634-C638</f>
        <v>16416</v>
      </c>
      <c r="D642" s="372">
        <f>D633+D634-D638</f>
        <v>19932</v>
      </c>
    </row>
    <row r="643" spans="1:4" ht="24" customHeight="1" thickBot="1" thickTop="1">
      <c r="A643" s="32"/>
      <c r="B643" s="25"/>
      <c r="C643" s="274"/>
      <c r="D643" s="274"/>
    </row>
    <row r="644" spans="1:4" ht="20.25" customHeight="1" thickTop="1">
      <c r="A644" s="361" t="s">
        <v>242</v>
      </c>
      <c r="B644" s="21"/>
      <c r="C644" s="451" t="s">
        <v>2</v>
      </c>
      <c r="D644" s="305" t="s">
        <v>1</v>
      </c>
    </row>
    <row r="645" spans="1:4" ht="12.75" customHeight="1">
      <c r="A645" s="22" t="s">
        <v>211</v>
      </c>
      <c r="B645" s="23"/>
      <c r="C645" s="472">
        <v>0</v>
      </c>
      <c r="D645" s="371">
        <v>0</v>
      </c>
    </row>
    <row r="646" spans="1:4" ht="12.75" customHeight="1">
      <c r="A646" s="22" t="s">
        <v>212</v>
      </c>
      <c r="B646" s="23"/>
      <c r="C646" s="472">
        <v>5529</v>
      </c>
      <c r="D646" s="371">
        <v>3900</v>
      </c>
    </row>
    <row r="647" spans="1:4" ht="12.75" customHeight="1">
      <c r="A647" s="22" t="s">
        <v>213</v>
      </c>
      <c r="B647" s="23"/>
      <c r="C647" s="472">
        <f>8131+2756</f>
        <v>10887</v>
      </c>
      <c r="D647" s="371">
        <v>16032</v>
      </c>
    </row>
    <row r="648" spans="1:4" ht="12.75" customHeight="1" thickBot="1">
      <c r="A648" s="31" t="s">
        <v>239</v>
      </c>
      <c r="B648" s="62"/>
      <c r="C648" s="473">
        <f>SUM(C645:C647)</f>
        <v>16416</v>
      </c>
      <c r="D648" s="372">
        <f>SUM(D645:D647)</f>
        <v>19932</v>
      </c>
    </row>
    <row r="649" spans="1:5" ht="12.75" customHeight="1" thickBot="1" thickTop="1">
      <c r="A649" s="33"/>
      <c r="B649" s="25"/>
      <c r="C649" s="25"/>
      <c r="D649" s="274"/>
      <c r="E649" s="274"/>
    </row>
    <row r="650" spans="1:4" ht="12.75" customHeight="1" thickBot="1" thickTop="1">
      <c r="A650" s="170" t="s">
        <v>238</v>
      </c>
      <c r="B650" s="169" t="s">
        <v>243</v>
      </c>
      <c r="C650" s="169"/>
      <c r="D650" s="322"/>
    </row>
    <row r="651" spans="1:5" s="41" customFormat="1" ht="12.75" customHeight="1" thickTop="1">
      <c r="A651" s="33"/>
      <c r="B651" s="25"/>
      <c r="C651" s="25"/>
      <c r="D651" s="274"/>
      <c r="E651" s="274"/>
    </row>
    <row r="652" spans="1:5" ht="17.25" thickBot="1">
      <c r="A652" s="69" t="s">
        <v>244</v>
      </c>
      <c r="B652" s="59"/>
      <c r="C652" s="59"/>
      <c r="D652" s="310"/>
      <c r="E652" s="310"/>
    </row>
    <row r="653" spans="1:4" ht="24" customHeight="1" thickTop="1">
      <c r="A653" s="4" t="s">
        <v>245</v>
      </c>
      <c r="B653" s="21"/>
      <c r="C653" s="451" t="s">
        <v>2</v>
      </c>
      <c r="D653" s="305" t="s">
        <v>1</v>
      </c>
    </row>
    <row r="654" spans="1:4" ht="12.75" customHeight="1">
      <c r="A654" s="22" t="s">
        <v>246</v>
      </c>
      <c r="B654" s="23"/>
      <c r="C654" s="499">
        <v>0</v>
      </c>
      <c r="D654" s="371">
        <v>0</v>
      </c>
    </row>
    <row r="655" spans="1:4" ht="12.75" customHeight="1">
      <c r="A655" s="22" t="s">
        <v>247</v>
      </c>
      <c r="B655" s="23"/>
      <c r="C655" s="499">
        <v>0</v>
      </c>
      <c r="D655" s="371">
        <v>0</v>
      </c>
    </row>
    <row r="656" spans="1:4" ht="12.75" customHeight="1">
      <c r="A656" s="22" t="s">
        <v>248</v>
      </c>
      <c r="B656" s="23"/>
      <c r="C656" s="499">
        <v>0</v>
      </c>
      <c r="D656" s="371">
        <v>0</v>
      </c>
    </row>
    <row r="657" spans="1:4" s="41" customFormat="1" ht="12.75" customHeight="1">
      <c r="A657" s="22" t="s">
        <v>249</v>
      </c>
      <c r="B657" s="23"/>
      <c r="C657" s="499">
        <v>0</v>
      </c>
      <c r="D657" s="371">
        <v>0</v>
      </c>
    </row>
    <row r="658" spans="1:4" ht="13.5" thickBot="1">
      <c r="A658" s="31" t="s">
        <v>250</v>
      </c>
      <c r="B658" s="62"/>
      <c r="C658" s="498">
        <f>SUM(C654:C657)</f>
        <v>0</v>
      </c>
      <c r="D658" s="372">
        <f>SUM(D654:D657)</f>
        <v>0</v>
      </c>
    </row>
    <row r="659" spans="1:4" ht="14.25" thickBot="1" thickTop="1">
      <c r="A659" s="33"/>
      <c r="B659" s="25"/>
      <c r="C659" s="25"/>
      <c r="D659" s="274"/>
    </row>
    <row r="660" spans="1:4" ht="32.25" thickTop="1">
      <c r="A660" s="361" t="s">
        <v>251</v>
      </c>
      <c r="B660" s="21"/>
      <c r="C660" s="451" t="s">
        <v>2</v>
      </c>
      <c r="D660" s="305" t="s">
        <v>1</v>
      </c>
    </row>
    <row r="661" spans="1:4" ht="12.75">
      <c r="A661" s="22" t="s">
        <v>211</v>
      </c>
      <c r="B661" s="23"/>
      <c r="C661" s="499">
        <v>0</v>
      </c>
      <c r="D661" s="371">
        <v>0</v>
      </c>
    </row>
    <row r="662" spans="1:4" ht="12.75">
      <c r="A662" s="22" t="s">
        <v>212</v>
      </c>
      <c r="B662" s="23"/>
      <c r="C662" s="499">
        <v>0</v>
      </c>
      <c r="D662" s="371">
        <v>0</v>
      </c>
    </row>
    <row r="663" spans="1:4" ht="12.75">
      <c r="A663" s="22" t="s">
        <v>213</v>
      </c>
      <c r="B663" s="23"/>
      <c r="C663" s="499">
        <v>0</v>
      </c>
      <c r="D663" s="371">
        <v>0</v>
      </c>
    </row>
    <row r="664" spans="1:4" ht="13.5" thickBot="1">
      <c r="A664" s="31" t="s">
        <v>252</v>
      </c>
      <c r="B664" s="62"/>
      <c r="C664" s="498">
        <f>SUM(C661:C663)</f>
        <v>0</v>
      </c>
      <c r="D664" s="372">
        <v>0</v>
      </c>
    </row>
    <row r="665" spans="1:5" ht="14.25" thickBot="1" thickTop="1">
      <c r="A665" s="33"/>
      <c r="B665" s="25"/>
      <c r="C665" s="25"/>
      <c r="D665" s="274"/>
      <c r="E665" s="274"/>
    </row>
    <row r="666" spans="1:4" s="41" customFormat="1" ht="38.25" customHeight="1" thickTop="1">
      <c r="A666" s="4" t="s">
        <v>253</v>
      </c>
      <c r="B666" s="21"/>
      <c r="C666" s="304" t="s">
        <v>11</v>
      </c>
      <c r="D666" s="305" t="s">
        <v>4</v>
      </c>
    </row>
    <row r="667" spans="1:4" ht="12.75">
      <c r="A667" s="22" t="s">
        <v>227</v>
      </c>
      <c r="B667" s="23"/>
      <c r="C667" s="499">
        <v>0</v>
      </c>
      <c r="D667" s="371">
        <v>0</v>
      </c>
    </row>
    <row r="668" spans="1:4" s="60" customFormat="1" ht="12.75">
      <c r="A668" s="22" t="s">
        <v>796</v>
      </c>
      <c r="B668" s="23"/>
      <c r="C668" s="499">
        <v>0</v>
      </c>
      <c r="D668" s="371">
        <v>0</v>
      </c>
    </row>
    <row r="669" spans="1:4" ht="12.75" customHeight="1">
      <c r="A669" s="22" t="s">
        <v>798</v>
      </c>
      <c r="B669" s="23"/>
      <c r="C669" s="499">
        <v>0</v>
      </c>
      <c r="D669" s="371">
        <v>0</v>
      </c>
    </row>
    <row r="670" spans="1:4" ht="12.75" customHeight="1" thickBot="1">
      <c r="A670" s="31" t="s">
        <v>254</v>
      </c>
      <c r="B670" s="62"/>
      <c r="C670" s="498">
        <v>0</v>
      </c>
      <c r="D670" s="372">
        <v>0</v>
      </c>
    </row>
    <row r="671" spans="1:5" ht="12.75" customHeight="1" thickTop="1">
      <c r="A671" s="32"/>
      <c r="B671" s="25"/>
      <c r="C671" s="25"/>
      <c r="D671" s="274"/>
      <c r="E671" s="274"/>
    </row>
    <row r="672" spans="1:5" ht="12.75" customHeight="1" thickBot="1">
      <c r="A672" s="69" t="s">
        <v>255</v>
      </c>
      <c r="B672" s="59"/>
      <c r="C672" s="59"/>
      <c r="D672" s="310"/>
      <c r="E672" s="310"/>
    </row>
    <row r="673" spans="1:4" ht="24" customHeight="1" thickTop="1">
      <c r="A673" s="361" t="s">
        <v>256</v>
      </c>
      <c r="B673" s="21"/>
      <c r="C673" s="451" t="s">
        <v>2</v>
      </c>
      <c r="D673" s="305" t="s">
        <v>1</v>
      </c>
    </row>
    <row r="674" spans="1:4" ht="12.75" customHeight="1">
      <c r="A674" s="22" t="s">
        <v>257</v>
      </c>
      <c r="B674" s="23"/>
      <c r="C674" s="472">
        <v>0</v>
      </c>
      <c r="D674" s="371">
        <v>0</v>
      </c>
    </row>
    <row r="675" spans="1:4" ht="12.75" customHeight="1">
      <c r="A675" s="22" t="s">
        <v>258</v>
      </c>
      <c r="B675" s="23"/>
      <c r="C675" s="472">
        <f>252844+5529</f>
        <v>258373</v>
      </c>
      <c r="D675" s="371">
        <v>97366</v>
      </c>
    </row>
    <row r="676" spans="1:4" ht="12.75" customHeight="1">
      <c r="A676" s="22" t="s">
        <v>259</v>
      </c>
      <c r="B676" s="23"/>
      <c r="C676" s="472">
        <f>299342+12750+28249+10887</f>
        <v>351228</v>
      </c>
      <c r="D676" s="371">
        <v>653895</v>
      </c>
    </row>
    <row r="677" spans="1:4" ht="12.75" customHeight="1" thickBot="1">
      <c r="A677" s="31" t="s">
        <v>260</v>
      </c>
      <c r="B677" s="62"/>
      <c r="C677" s="473">
        <f>SUM(C674:C676)</f>
        <v>609601</v>
      </c>
      <c r="D677" s="372">
        <f>SUM(D674:D676)</f>
        <v>751261</v>
      </c>
    </row>
    <row r="678" spans="1:5" ht="12.75" customHeight="1" thickBot="1" thickTop="1">
      <c r="A678" s="33"/>
      <c r="B678" s="25"/>
      <c r="C678" s="25"/>
      <c r="D678" s="274"/>
      <c r="E678" s="274"/>
    </row>
    <row r="679" spans="1:4" s="41" customFormat="1" ht="32.25" customHeight="1" thickTop="1">
      <c r="A679" s="361" t="s">
        <v>261</v>
      </c>
      <c r="B679" s="21"/>
      <c r="C679" s="451" t="s">
        <v>11</v>
      </c>
      <c r="D679" s="305" t="s">
        <v>4</v>
      </c>
    </row>
    <row r="680" spans="1:4" ht="12.75">
      <c r="A680" s="22" t="s">
        <v>227</v>
      </c>
      <c r="B680" s="23"/>
      <c r="C680" s="472">
        <v>751261</v>
      </c>
      <c r="D680" s="371">
        <v>346641</v>
      </c>
    </row>
    <row r="681" spans="1:4" ht="12.75" customHeight="1">
      <c r="A681" s="22" t="s">
        <v>796</v>
      </c>
      <c r="B681" s="23"/>
      <c r="C681" s="472">
        <f>SUM(C682:C685)</f>
        <v>9460084</v>
      </c>
      <c r="D681" s="371">
        <f>SUM(D682:D685)</f>
        <v>7506895</v>
      </c>
    </row>
    <row r="682" spans="1:4" s="41" customFormat="1" ht="11.25" customHeight="1">
      <c r="A682" s="20" t="s">
        <v>23</v>
      </c>
      <c r="B682" s="23"/>
      <c r="C682" s="472">
        <v>9335554</v>
      </c>
      <c r="D682" s="371">
        <v>7374919</v>
      </c>
    </row>
    <row r="683" spans="1:4" s="41" customFormat="1" ht="11.25" customHeight="1">
      <c r="A683" s="20" t="s">
        <v>20</v>
      </c>
      <c r="B683" s="23"/>
      <c r="C683" s="472">
        <v>120610</v>
      </c>
      <c r="D683" s="371">
        <v>130250</v>
      </c>
    </row>
    <row r="684" spans="1:4" s="41" customFormat="1" ht="11.25" customHeight="1">
      <c r="A684" s="20" t="s">
        <v>25</v>
      </c>
      <c r="B684" s="23"/>
      <c r="C684" s="472">
        <f>3187-683</f>
        <v>2504</v>
      </c>
      <c r="D684" s="371">
        <v>457</v>
      </c>
    </row>
    <row r="685" spans="1:4" s="41" customFormat="1" ht="11.25" customHeight="1">
      <c r="A685" s="20" t="s">
        <v>148</v>
      </c>
      <c r="B685" s="23"/>
      <c r="C685" s="472">
        <f>733+683</f>
        <v>1416</v>
      </c>
      <c r="D685" s="371">
        <v>1269</v>
      </c>
    </row>
    <row r="686" spans="1:4" s="41" customFormat="1" ht="11.25" customHeight="1">
      <c r="A686" s="22" t="s">
        <v>798</v>
      </c>
      <c r="B686" s="23"/>
      <c r="C686" s="472">
        <f>SUM(C687:C690)</f>
        <v>9601744</v>
      </c>
      <c r="D686" s="371">
        <f>SUM(D687:D690)</f>
        <v>7102275</v>
      </c>
    </row>
    <row r="687" spans="1:4" s="41" customFormat="1" ht="11.25" customHeight="1">
      <c r="A687" s="20" t="s">
        <v>26</v>
      </c>
      <c r="B687" s="23"/>
      <c r="C687" s="472">
        <v>9487330</v>
      </c>
      <c r="D687" s="371">
        <v>6971715</v>
      </c>
    </row>
    <row r="688" spans="1:4" s="41" customFormat="1" ht="11.25" customHeight="1">
      <c r="A688" s="20" t="s">
        <v>22</v>
      </c>
      <c r="B688" s="23"/>
      <c r="C688" s="472">
        <v>112394</v>
      </c>
      <c r="D688" s="371">
        <v>127121</v>
      </c>
    </row>
    <row r="689" spans="1:4" s="41" customFormat="1" ht="11.25" customHeight="1">
      <c r="A689" s="20" t="s">
        <v>27</v>
      </c>
      <c r="B689" s="23"/>
      <c r="C689" s="472">
        <v>1503</v>
      </c>
      <c r="D689" s="371">
        <v>684</v>
      </c>
    </row>
    <row r="690" spans="1:4" s="41" customFormat="1" ht="11.25" customHeight="1">
      <c r="A690" s="20" t="s">
        <v>24</v>
      </c>
      <c r="B690" s="23"/>
      <c r="C690" s="472">
        <v>517</v>
      </c>
      <c r="D690" s="371">
        <v>2755</v>
      </c>
    </row>
    <row r="691" spans="1:4" s="41" customFormat="1" ht="11.25" customHeight="1" thickBot="1">
      <c r="A691" s="31" t="s">
        <v>254</v>
      </c>
      <c r="B691" s="62"/>
      <c r="C691" s="473">
        <f>C680+C681-C686</f>
        <v>609601</v>
      </c>
      <c r="D691" s="372">
        <f>D680+D681-D686</f>
        <v>751261</v>
      </c>
    </row>
    <row r="692" spans="1:5" s="41" customFormat="1" ht="11.25" customHeight="1" thickBot="1" thickTop="1">
      <c r="A692" s="33"/>
      <c r="B692" s="25"/>
      <c r="C692" s="25"/>
      <c r="D692" s="274"/>
      <c r="E692" s="274"/>
    </row>
    <row r="693" spans="1:4" s="41" customFormat="1" ht="23.25" customHeight="1" thickTop="1">
      <c r="A693" s="4" t="s">
        <v>262</v>
      </c>
      <c r="B693" s="21"/>
      <c r="C693" s="451" t="s">
        <v>2</v>
      </c>
      <c r="D693" s="305" t="s">
        <v>1</v>
      </c>
    </row>
    <row r="694" spans="1:4" s="41" customFormat="1" ht="12.75" customHeight="1">
      <c r="A694" s="101" t="s">
        <v>1016</v>
      </c>
      <c r="B694" s="103"/>
      <c r="C694" s="475">
        <v>609601</v>
      </c>
      <c r="D694" s="374">
        <v>751261</v>
      </c>
    </row>
    <row r="695" spans="1:4" ht="12.75" customHeight="1">
      <c r="A695" s="101" t="s">
        <v>1017</v>
      </c>
      <c r="B695" s="124"/>
      <c r="C695" s="475">
        <v>0</v>
      </c>
      <c r="D695" s="374">
        <v>0</v>
      </c>
    </row>
    <row r="696" spans="1:4" ht="22.5" customHeight="1" thickBot="1">
      <c r="A696" s="375" t="s">
        <v>263</v>
      </c>
      <c r="B696" s="62"/>
      <c r="C696" s="473">
        <f>SUM(C694:C695)</f>
        <v>609601</v>
      </c>
      <c r="D696" s="372">
        <f>SUM(D694:D695)</f>
        <v>751261</v>
      </c>
    </row>
    <row r="697" spans="1:5" ht="17.25" customHeight="1" thickBot="1" thickTop="1">
      <c r="A697" s="33"/>
      <c r="B697" s="25"/>
      <c r="C697" s="25"/>
      <c r="D697" s="274"/>
      <c r="E697" s="274"/>
    </row>
    <row r="698" spans="1:4" ht="26.25" customHeight="1" thickTop="1">
      <c r="A698" s="4" t="s">
        <v>264</v>
      </c>
      <c r="B698" s="21"/>
      <c r="C698" s="451" t="s">
        <v>2</v>
      </c>
      <c r="D698" s="305" t="s">
        <v>1</v>
      </c>
    </row>
    <row r="699" spans="1:4" ht="11.25" customHeight="1">
      <c r="A699" s="22" t="s">
        <v>265</v>
      </c>
      <c r="B699" s="23"/>
      <c r="C699" s="472">
        <f>C700+C703+C706</f>
        <v>105594</v>
      </c>
      <c r="D699" s="371">
        <f>D700+D703+D706</f>
        <v>3900</v>
      </c>
    </row>
    <row r="700" spans="1:4" ht="11.25" customHeight="1">
      <c r="A700" s="22" t="s">
        <v>266</v>
      </c>
      <c r="B700" s="23"/>
      <c r="C700" s="472">
        <v>5529</v>
      </c>
      <c r="D700" s="371">
        <v>3900</v>
      </c>
    </row>
    <row r="701" spans="1:4" ht="12.75" customHeight="1">
      <c r="A701" s="20" t="s">
        <v>267</v>
      </c>
      <c r="B701" s="23"/>
      <c r="C701" s="472">
        <v>5646</v>
      </c>
      <c r="D701" s="371">
        <v>4038</v>
      </c>
    </row>
    <row r="702" spans="1:4" ht="11.25" customHeight="1">
      <c r="A702" s="20" t="s">
        <v>268</v>
      </c>
      <c r="B702" s="23"/>
      <c r="C702" s="472">
        <v>6211</v>
      </c>
      <c r="D702" s="371">
        <v>4584</v>
      </c>
    </row>
    <row r="703" spans="1:4" ht="11.25" customHeight="1">
      <c r="A703" s="20" t="s">
        <v>269</v>
      </c>
      <c r="B703" s="23"/>
      <c r="C703" s="472">
        <v>100065</v>
      </c>
      <c r="D703" s="371">
        <v>0</v>
      </c>
    </row>
    <row r="704" spans="1:4" ht="11.25" customHeight="1">
      <c r="A704" s="20" t="s">
        <v>267</v>
      </c>
      <c r="B704" s="23"/>
      <c r="C704" s="500">
        <v>91980</v>
      </c>
      <c r="D704" s="371">
        <v>0</v>
      </c>
    </row>
    <row r="705" spans="1:4" ht="11.25" customHeight="1">
      <c r="A705" s="20" t="s">
        <v>268</v>
      </c>
      <c r="B705" s="23"/>
      <c r="C705" s="472">
        <v>91916</v>
      </c>
      <c r="D705" s="371">
        <v>0</v>
      </c>
    </row>
    <row r="706" spans="1:4" ht="11.25" customHeight="1">
      <c r="A706" s="20" t="s">
        <v>270</v>
      </c>
      <c r="B706" s="23"/>
      <c r="C706" s="472">
        <v>0</v>
      </c>
      <c r="D706" s="371">
        <v>0</v>
      </c>
    </row>
    <row r="707" spans="1:4" ht="23.25" customHeight="1">
      <c r="A707" s="20" t="s">
        <v>277</v>
      </c>
      <c r="B707" s="23"/>
      <c r="C707" s="472">
        <f>C708+C711+C714</f>
        <v>0</v>
      </c>
      <c r="D707" s="371">
        <f>D708+D711+D714</f>
        <v>0</v>
      </c>
    </row>
    <row r="708" spans="1:4" ht="11.25" customHeight="1">
      <c r="A708" s="20" t="s">
        <v>266</v>
      </c>
      <c r="B708" s="23"/>
      <c r="C708" s="472">
        <v>0</v>
      </c>
      <c r="D708" s="371">
        <v>0</v>
      </c>
    </row>
    <row r="709" spans="1:4" ht="12.75" customHeight="1">
      <c r="A709" s="20" t="s">
        <v>267</v>
      </c>
      <c r="B709" s="23"/>
      <c r="C709" s="472">
        <v>0</v>
      </c>
      <c r="D709" s="371">
        <v>0</v>
      </c>
    </row>
    <row r="710" spans="1:4" ht="12" customHeight="1">
      <c r="A710" s="20" t="s">
        <v>268</v>
      </c>
      <c r="B710" s="23"/>
      <c r="C710" s="472">
        <v>0</v>
      </c>
      <c r="D710" s="371">
        <v>0</v>
      </c>
    </row>
    <row r="711" spans="1:4" ht="12" customHeight="1">
      <c r="A711" s="20" t="s">
        <v>269</v>
      </c>
      <c r="B711" s="23"/>
      <c r="C711" s="472">
        <v>0</v>
      </c>
      <c r="D711" s="371">
        <v>0</v>
      </c>
    </row>
    <row r="712" spans="1:4" ht="12" customHeight="1">
      <c r="A712" s="20" t="s">
        <v>267</v>
      </c>
      <c r="B712" s="23"/>
      <c r="C712" s="472">
        <v>0</v>
      </c>
      <c r="D712" s="371">
        <v>0</v>
      </c>
    </row>
    <row r="713" spans="1:4" ht="12" customHeight="1">
      <c r="A713" s="20" t="s">
        <v>268</v>
      </c>
      <c r="B713" s="23"/>
      <c r="C713" s="472">
        <v>0</v>
      </c>
      <c r="D713" s="371">
        <v>0</v>
      </c>
    </row>
    <row r="714" spans="1:4" ht="12" customHeight="1">
      <c r="A714" s="20" t="s">
        <v>270</v>
      </c>
      <c r="B714" s="23"/>
      <c r="C714" s="472">
        <v>0</v>
      </c>
      <c r="D714" s="371">
        <v>0</v>
      </c>
    </row>
    <row r="715" spans="1:4" ht="24.75" customHeight="1">
      <c r="A715" s="20" t="s">
        <v>278</v>
      </c>
      <c r="B715" s="23"/>
      <c r="C715" s="472">
        <f>C716+C719+C722</f>
        <v>152779</v>
      </c>
      <c r="D715" s="371">
        <f>D716+D719+D722</f>
        <v>93466</v>
      </c>
    </row>
    <row r="716" spans="1:4" ht="12" customHeight="1">
      <c r="A716" s="20" t="s">
        <v>266</v>
      </c>
      <c r="B716" s="23"/>
      <c r="C716" s="472">
        <v>0</v>
      </c>
      <c r="D716" s="371">
        <v>0</v>
      </c>
    </row>
    <row r="717" spans="1:4" ht="12" customHeight="1">
      <c r="A717" s="20" t="s">
        <v>267</v>
      </c>
      <c r="B717" s="23"/>
      <c r="C717" s="472">
        <v>0</v>
      </c>
      <c r="D717" s="371">
        <v>0</v>
      </c>
    </row>
    <row r="718" spans="1:4" ht="12" customHeight="1">
      <c r="A718" s="20" t="s">
        <v>268</v>
      </c>
      <c r="B718" s="23"/>
      <c r="C718" s="472">
        <v>0</v>
      </c>
      <c r="D718" s="371">
        <v>0</v>
      </c>
    </row>
    <row r="719" spans="1:4" ht="12" customHeight="1">
      <c r="A719" s="20" t="s">
        <v>269</v>
      </c>
      <c r="B719" s="23"/>
      <c r="C719" s="472">
        <v>4946</v>
      </c>
      <c r="D719" s="371">
        <v>7489</v>
      </c>
    </row>
    <row r="720" spans="1:4" ht="12" customHeight="1">
      <c r="A720" s="20" t="s">
        <v>267</v>
      </c>
      <c r="B720" s="23"/>
      <c r="C720" s="472">
        <v>4946</v>
      </c>
      <c r="D720" s="371">
        <v>7489</v>
      </c>
    </row>
    <row r="721" spans="1:4" ht="12" customHeight="1">
      <c r="A721" s="20" t="s">
        <v>268</v>
      </c>
      <c r="B721" s="23"/>
      <c r="C721" s="472">
        <v>4800</v>
      </c>
      <c r="D721" s="371">
        <v>6840</v>
      </c>
    </row>
    <row r="722" spans="1:4" ht="12" customHeight="1">
      <c r="A722" s="20" t="s">
        <v>270</v>
      </c>
      <c r="B722" s="23"/>
      <c r="C722" s="472">
        <f>C723+C726+C729</f>
        <v>147833</v>
      </c>
      <c r="D722" s="371">
        <f>D723</f>
        <v>85977</v>
      </c>
    </row>
    <row r="723" spans="1:4" ht="12" customHeight="1">
      <c r="A723" s="20" t="s">
        <v>836</v>
      </c>
      <c r="B723" s="23"/>
      <c r="C723" s="472">
        <v>137919</v>
      </c>
      <c r="D723" s="371">
        <v>85977</v>
      </c>
    </row>
    <row r="724" spans="1:4" ht="11.25" customHeight="1">
      <c r="A724" s="20" t="s">
        <v>267</v>
      </c>
      <c r="B724" s="23"/>
      <c r="C724" s="500">
        <v>137154</v>
      </c>
      <c r="D724" s="371">
        <v>92620</v>
      </c>
    </row>
    <row r="725" spans="1:4" ht="11.25" customHeight="1">
      <c r="A725" s="20" t="s">
        <v>268</v>
      </c>
      <c r="B725" s="23"/>
      <c r="C725" s="500">
        <v>134973</v>
      </c>
      <c r="D725" s="371">
        <v>84727</v>
      </c>
    </row>
    <row r="726" spans="1:4" ht="11.25" customHeight="1">
      <c r="A726" s="20" t="s">
        <v>835</v>
      </c>
      <c r="B726" s="23"/>
      <c r="C726" s="500">
        <v>4989</v>
      </c>
      <c r="D726" s="371">
        <v>0</v>
      </c>
    </row>
    <row r="727" spans="1:4" ht="11.25" customHeight="1">
      <c r="A727" s="20" t="s">
        <v>267</v>
      </c>
      <c r="B727" s="23"/>
      <c r="C727" s="500">
        <v>4986</v>
      </c>
      <c r="D727" s="371">
        <v>0</v>
      </c>
    </row>
    <row r="728" spans="1:4" ht="11.25" customHeight="1">
      <c r="A728" s="20" t="s">
        <v>268</v>
      </c>
      <c r="B728" s="23"/>
      <c r="C728" s="500">
        <v>4984</v>
      </c>
      <c r="D728" s="371">
        <v>0</v>
      </c>
    </row>
    <row r="729" spans="1:4" ht="11.25" customHeight="1">
      <c r="A729" s="20" t="s">
        <v>834</v>
      </c>
      <c r="B729" s="23"/>
      <c r="C729" s="472">
        <v>4925</v>
      </c>
      <c r="D729" s="371">
        <v>0</v>
      </c>
    </row>
    <row r="730" spans="1:4" ht="11.25" customHeight="1">
      <c r="A730" s="20" t="s">
        <v>267</v>
      </c>
      <c r="B730" s="23"/>
      <c r="C730" s="472">
        <v>4925</v>
      </c>
      <c r="D730" s="371">
        <v>0</v>
      </c>
    </row>
    <row r="731" spans="1:4" ht="11.25" customHeight="1">
      <c r="A731" s="20" t="s">
        <v>268</v>
      </c>
      <c r="B731" s="23"/>
      <c r="C731" s="472">
        <v>4714</v>
      </c>
      <c r="D731" s="371">
        <v>0</v>
      </c>
    </row>
    <row r="732" spans="1:4" ht="11.25" customHeight="1">
      <c r="A732" s="22" t="s">
        <v>279</v>
      </c>
      <c r="B732" s="23"/>
      <c r="C732" s="472">
        <f>C736</f>
        <v>0</v>
      </c>
      <c r="D732" s="371">
        <f>D733+D739</f>
        <v>0</v>
      </c>
    </row>
    <row r="733" spans="1:4" ht="11.25" customHeight="1">
      <c r="A733" s="22" t="s">
        <v>280</v>
      </c>
      <c r="B733" s="23"/>
      <c r="C733" s="472">
        <v>0</v>
      </c>
      <c r="D733" s="371">
        <v>0</v>
      </c>
    </row>
    <row r="734" spans="1:4" s="41" customFormat="1" ht="11.25" customHeight="1">
      <c r="A734" s="22" t="s">
        <v>281</v>
      </c>
      <c r="B734" s="23"/>
      <c r="C734" s="472">
        <v>0</v>
      </c>
      <c r="D734" s="371">
        <v>0</v>
      </c>
    </row>
    <row r="735" spans="1:4" s="41" customFormat="1" ht="11.25" customHeight="1">
      <c r="A735" s="22" t="s">
        <v>268</v>
      </c>
      <c r="B735" s="23"/>
      <c r="C735" s="472">
        <v>0</v>
      </c>
      <c r="D735" s="371">
        <v>0</v>
      </c>
    </row>
    <row r="736" spans="1:4" s="41" customFormat="1" ht="11.25" customHeight="1">
      <c r="A736" s="22" t="s">
        <v>269</v>
      </c>
      <c r="B736" s="23"/>
      <c r="C736" s="472">
        <v>0</v>
      </c>
      <c r="D736" s="371">
        <v>0</v>
      </c>
    </row>
    <row r="737" spans="1:4" s="41" customFormat="1" ht="11.25" customHeight="1">
      <c r="A737" s="22" t="s">
        <v>281</v>
      </c>
      <c r="B737" s="23"/>
      <c r="C737" s="500">
        <v>0</v>
      </c>
      <c r="D737" s="371">
        <v>0</v>
      </c>
    </row>
    <row r="738" spans="1:4" ht="12.75" customHeight="1">
      <c r="A738" s="22" t="s">
        <v>268</v>
      </c>
      <c r="B738" s="23"/>
      <c r="C738" s="472">
        <v>0</v>
      </c>
      <c r="D738" s="371">
        <v>0</v>
      </c>
    </row>
    <row r="739" spans="1:4" ht="13.5" customHeight="1">
      <c r="A739" s="22" t="s">
        <v>270</v>
      </c>
      <c r="B739" s="23"/>
      <c r="C739" s="472">
        <v>0</v>
      </c>
      <c r="D739" s="371">
        <v>0</v>
      </c>
    </row>
    <row r="740" spans="1:4" ht="11.25" customHeight="1">
      <c r="A740" s="35" t="s">
        <v>282</v>
      </c>
      <c r="B740" s="129"/>
      <c r="C740" s="476">
        <f>C702+C705+C710+C713+C718+C721+C725+C735+C738+C728+C731</f>
        <v>247598</v>
      </c>
      <c r="D740" s="376">
        <f>D702+D705+D710+D713+D718+D721+D725+D735+D738+D728+D731</f>
        <v>96151</v>
      </c>
    </row>
    <row r="741" spans="1:4" ht="11.25" customHeight="1">
      <c r="A741" s="36" t="s">
        <v>283</v>
      </c>
      <c r="B741" s="129"/>
      <c r="C741" s="476">
        <f>C743-C740</f>
        <v>10775</v>
      </c>
      <c r="D741" s="376">
        <f>D743-D740</f>
        <v>1215</v>
      </c>
    </row>
    <row r="742" spans="1:4" ht="11.25" customHeight="1">
      <c r="A742" s="36" t="s">
        <v>284</v>
      </c>
      <c r="B742" s="129"/>
      <c r="C742" s="476">
        <f>C701+C704+C709+C712+C720+C724+C734+C727+C730</f>
        <v>249637</v>
      </c>
      <c r="D742" s="376">
        <f>D701+D704+D709+D712+D720+D724+D734+D727+D730</f>
        <v>104147</v>
      </c>
    </row>
    <row r="743" spans="1:4" ht="11.25" customHeight="1" thickBot="1">
      <c r="A743" s="26" t="s">
        <v>285</v>
      </c>
      <c r="B743" s="62"/>
      <c r="C743" s="473">
        <f>C732+C715+C707+C699</f>
        <v>258373</v>
      </c>
      <c r="D743" s="372">
        <f>D732+D715+D707+D699</f>
        <v>97366</v>
      </c>
    </row>
    <row r="744" spans="1:5" ht="11.25" customHeight="1" thickBot="1" thickTop="1">
      <c r="A744" s="34"/>
      <c r="B744" s="25"/>
      <c r="C744" s="25"/>
      <c r="D744" s="274"/>
      <c r="E744" s="274"/>
    </row>
    <row r="745" spans="1:4" ht="24" customHeight="1" thickTop="1">
      <c r="A745" s="4" t="s">
        <v>286</v>
      </c>
      <c r="B745" s="21"/>
      <c r="C745" s="451" t="s">
        <v>2</v>
      </c>
      <c r="D745" s="305" t="s">
        <v>1</v>
      </c>
    </row>
    <row r="746" spans="1:4" ht="12.75" customHeight="1">
      <c r="A746" s="22" t="s">
        <v>265</v>
      </c>
      <c r="B746" s="23"/>
      <c r="C746" s="472">
        <f>C747+C750+C753</f>
        <v>130638</v>
      </c>
      <c r="D746" s="371">
        <f>D747+D750+D753</f>
        <v>59455</v>
      </c>
    </row>
    <row r="747" spans="1:4" ht="12.75" customHeight="1">
      <c r="A747" s="22" t="s">
        <v>266</v>
      </c>
      <c r="B747" s="23"/>
      <c r="C747" s="472">
        <v>2756</v>
      </c>
      <c r="D747" s="371">
        <v>3701</v>
      </c>
    </row>
    <row r="748" spans="1:4" ht="12.75" customHeight="1">
      <c r="A748" s="22" t="s">
        <v>287</v>
      </c>
      <c r="B748" s="23"/>
      <c r="C748" s="472">
        <f>C747-C749</f>
        <v>-311</v>
      </c>
      <c r="D748" s="371">
        <f>D747-D749</f>
        <v>-2504</v>
      </c>
    </row>
    <row r="749" spans="1:4" ht="11.25" customHeight="1">
      <c r="A749" s="22" t="s">
        <v>268</v>
      </c>
      <c r="B749" s="23"/>
      <c r="C749" s="472">
        <v>3067</v>
      </c>
      <c r="D749" s="371">
        <v>6205</v>
      </c>
    </row>
    <row r="750" spans="1:4" ht="11.25" customHeight="1">
      <c r="A750" s="22" t="s">
        <v>269</v>
      </c>
      <c r="B750" s="23"/>
      <c r="C750" s="472">
        <v>127882</v>
      </c>
      <c r="D750" s="371">
        <v>55754</v>
      </c>
    </row>
    <row r="751" spans="1:4" ht="11.25" customHeight="1">
      <c r="A751" s="22" t="s">
        <v>287</v>
      </c>
      <c r="B751" s="23"/>
      <c r="C751" s="472">
        <f>C750-C752</f>
        <v>15842</v>
      </c>
      <c r="D751" s="371">
        <f>D750-D752</f>
        <v>8388</v>
      </c>
    </row>
    <row r="752" spans="1:4" ht="11.25" customHeight="1">
      <c r="A752" s="22" t="s">
        <v>268</v>
      </c>
      <c r="B752" s="23"/>
      <c r="C752" s="472">
        <v>112040</v>
      </c>
      <c r="D752" s="371">
        <v>47366</v>
      </c>
    </row>
    <row r="753" spans="1:4" ht="11.25" customHeight="1">
      <c r="A753" s="22" t="s">
        <v>270</v>
      </c>
      <c r="B753" s="23"/>
      <c r="C753" s="472">
        <v>0</v>
      </c>
      <c r="D753" s="371">
        <v>0</v>
      </c>
    </row>
    <row r="754" spans="1:4" ht="11.25" customHeight="1">
      <c r="A754" s="29" t="s">
        <v>277</v>
      </c>
      <c r="B754" s="23"/>
      <c r="C754" s="472">
        <f>C755+C758+C761</f>
        <v>0</v>
      </c>
      <c r="D754" s="371">
        <f>D755+D758+D761</f>
        <v>0</v>
      </c>
    </row>
    <row r="755" spans="1:4" ht="11.25" customHeight="1">
      <c r="A755" s="22" t="s">
        <v>266</v>
      </c>
      <c r="B755" s="23"/>
      <c r="C755" s="472">
        <v>0</v>
      </c>
      <c r="D755" s="371">
        <v>0</v>
      </c>
    </row>
    <row r="756" spans="1:4" ht="12.75" customHeight="1">
      <c r="A756" s="22" t="s">
        <v>287</v>
      </c>
      <c r="B756" s="23"/>
      <c r="C756" s="472">
        <f>C755-C757</f>
        <v>0</v>
      </c>
      <c r="D756" s="371">
        <f>D755-D757</f>
        <v>0</v>
      </c>
    </row>
    <row r="757" spans="1:4" ht="11.25" customHeight="1">
      <c r="A757" s="22" t="s">
        <v>268</v>
      </c>
      <c r="B757" s="23"/>
      <c r="C757" s="472">
        <v>0</v>
      </c>
      <c r="D757" s="371">
        <v>0</v>
      </c>
    </row>
    <row r="758" spans="1:4" ht="11.25" customHeight="1">
      <c r="A758" s="22" t="s">
        <v>269</v>
      </c>
      <c r="B758" s="23"/>
      <c r="C758" s="472">
        <v>0</v>
      </c>
      <c r="D758" s="371">
        <v>0</v>
      </c>
    </row>
    <row r="759" spans="1:4" ht="11.25" customHeight="1">
      <c r="A759" s="22" t="s">
        <v>287</v>
      </c>
      <c r="B759" s="23"/>
      <c r="C759" s="472">
        <f>C758-C760</f>
        <v>0</v>
      </c>
      <c r="D759" s="371">
        <f>D758-D760</f>
        <v>0</v>
      </c>
    </row>
    <row r="760" spans="1:4" ht="11.25" customHeight="1">
      <c r="A760" s="22" t="s">
        <v>268</v>
      </c>
      <c r="B760" s="23"/>
      <c r="C760" s="472">
        <v>0</v>
      </c>
      <c r="D760" s="371">
        <v>0</v>
      </c>
    </row>
    <row r="761" spans="1:4" ht="11.25" customHeight="1">
      <c r="A761" s="22" t="s">
        <v>270</v>
      </c>
      <c r="B761" s="23"/>
      <c r="C761" s="472">
        <v>0</v>
      </c>
      <c r="D761" s="371">
        <v>0</v>
      </c>
    </row>
    <row r="762" spans="1:4" ht="11.25" customHeight="1">
      <c r="A762" s="29" t="s">
        <v>278</v>
      </c>
      <c r="B762" s="23"/>
      <c r="C762" s="472">
        <f>C763+C766+C769</f>
        <v>56171</v>
      </c>
      <c r="D762" s="371">
        <f>D763+D766+D769</f>
        <v>593203</v>
      </c>
    </row>
    <row r="763" spans="1:4" ht="11.25" customHeight="1">
      <c r="A763" s="22" t="s">
        <v>266</v>
      </c>
      <c r="B763" s="23"/>
      <c r="C763" s="472">
        <v>48901</v>
      </c>
      <c r="D763" s="371">
        <v>22120</v>
      </c>
    </row>
    <row r="764" spans="1:4" ht="11.25" customHeight="1">
      <c r="A764" s="22" t="s">
        <v>287</v>
      </c>
      <c r="B764" s="23"/>
      <c r="C764" s="472">
        <f>C763-C765</f>
        <v>-232</v>
      </c>
      <c r="D764" s="371">
        <f>D763-D765</f>
        <v>-26</v>
      </c>
    </row>
    <row r="765" spans="1:4" ht="11.25" customHeight="1">
      <c r="A765" s="22" t="s">
        <v>268</v>
      </c>
      <c r="B765" s="23"/>
      <c r="C765" s="472">
        <v>49133</v>
      </c>
      <c r="D765" s="371">
        <v>22146</v>
      </c>
    </row>
    <row r="766" spans="1:4" ht="11.25" customHeight="1">
      <c r="A766" s="22" t="s">
        <v>269</v>
      </c>
      <c r="B766" s="23"/>
      <c r="C766" s="472">
        <v>6212</v>
      </c>
      <c r="D766" s="371">
        <v>0</v>
      </c>
    </row>
    <row r="767" spans="1:4" ht="11.25" customHeight="1">
      <c r="A767" s="22" t="s">
        <v>287</v>
      </c>
      <c r="B767" s="23"/>
      <c r="C767" s="472">
        <f>C766-C768</f>
        <v>372</v>
      </c>
      <c r="D767" s="371">
        <v>0</v>
      </c>
    </row>
    <row r="768" spans="1:4" ht="11.25" customHeight="1">
      <c r="A768" s="22" t="s">
        <v>268</v>
      </c>
      <c r="B768" s="23"/>
      <c r="C768" s="472">
        <v>5840</v>
      </c>
      <c r="D768" s="371">
        <v>0</v>
      </c>
    </row>
    <row r="769" spans="1:4" ht="11.25" customHeight="1">
      <c r="A769" s="22" t="s">
        <v>270</v>
      </c>
      <c r="B769" s="23"/>
      <c r="C769" s="472">
        <f>C770+C773</f>
        <v>1058</v>
      </c>
      <c r="D769" s="371">
        <f>D770+D773</f>
        <v>571083</v>
      </c>
    </row>
    <row r="770" spans="1:4" ht="11.25" customHeight="1">
      <c r="A770" s="22" t="s">
        <v>31</v>
      </c>
      <c r="B770" s="23"/>
      <c r="C770" s="472">
        <v>229</v>
      </c>
      <c r="D770" s="371">
        <v>229</v>
      </c>
    </row>
    <row r="771" spans="1:4" ht="11.25" customHeight="1">
      <c r="A771" s="22" t="s">
        <v>287</v>
      </c>
      <c r="B771" s="23"/>
      <c r="C771" s="472">
        <f>C770-C772</f>
        <v>-225</v>
      </c>
      <c r="D771" s="371">
        <f>D770-D772</f>
        <v>-225</v>
      </c>
    </row>
    <row r="772" spans="1:4" ht="11.25" customHeight="1">
      <c r="A772" s="22" t="s">
        <v>268</v>
      </c>
      <c r="B772" s="23"/>
      <c r="C772" s="472">
        <v>454</v>
      </c>
      <c r="D772" s="371">
        <v>454</v>
      </c>
    </row>
    <row r="773" spans="1:4" ht="11.25" customHeight="1">
      <c r="A773" s="22" t="s">
        <v>32</v>
      </c>
      <c r="B773" s="23"/>
      <c r="C773" s="472">
        <v>829</v>
      </c>
      <c r="D773" s="371">
        <v>570854</v>
      </c>
    </row>
    <row r="774" spans="1:4" ht="11.25" customHeight="1">
      <c r="A774" s="22" t="s">
        <v>287</v>
      </c>
      <c r="B774" s="23"/>
      <c r="C774" s="472">
        <f>C773-C775</f>
        <v>1</v>
      </c>
      <c r="D774" s="371">
        <f>D773-D775</f>
        <v>4424</v>
      </c>
    </row>
    <row r="775" spans="1:4" ht="11.25" customHeight="1">
      <c r="A775" s="22" t="s">
        <v>268</v>
      </c>
      <c r="B775" s="23"/>
      <c r="C775" s="472">
        <v>828</v>
      </c>
      <c r="D775" s="371">
        <v>566430</v>
      </c>
    </row>
    <row r="776" spans="1:4" s="41" customFormat="1" ht="11.25" customHeight="1">
      <c r="A776" s="22" t="s">
        <v>279</v>
      </c>
      <c r="B776" s="23"/>
      <c r="C776" s="472">
        <f>C777+C780+C783</f>
        <v>164419</v>
      </c>
      <c r="D776" s="371">
        <f>D777+D780+D783</f>
        <v>1237</v>
      </c>
    </row>
    <row r="777" spans="1:4" s="41" customFormat="1" ht="11.25" customHeight="1">
      <c r="A777" s="22" t="s">
        <v>280</v>
      </c>
      <c r="B777" s="23"/>
      <c r="C777" s="472">
        <v>0</v>
      </c>
      <c r="D777" s="371">
        <v>0</v>
      </c>
    </row>
    <row r="778" spans="1:4" ht="12.75" customHeight="1">
      <c r="A778" s="22" t="s">
        <v>287</v>
      </c>
      <c r="B778" s="23"/>
      <c r="C778" s="472">
        <f>C777-C779</f>
        <v>-283</v>
      </c>
      <c r="D778" s="371">
        <f>D777-D779</f>
        <v>-283</v>
      </c>
    </row>
    <row r="779" spans="1:4" s="60" customFormat="1" ht="13.5" customHeight="1">
      <c r="A779" s="22" t="s">
        <v>268</v>
      </c>
      <c r="B779" s="23"/>
      <c r="C779" s="472">
        <v>283</v>
      </c>
      <c r="D779" s="371">
        <v>283</v>
      </c>
    </row>
    <row r="780" spans="1:4" ht="12" customHeight="1">
      <c r="A780" s="22" t="s">
        <v>269</v>
      </c>
      <c r="B780" s="23"/>
      <c r="C780" s="472">
        <v>155280</v>
      </c>
      <c r="D780" s="371">
        <v>0</v>
      </c>
    </row>
    <row r="781" spans="1:4" ht="12" customHeight="1">
      <c r="A781" s="22" t="s">
        <v>287</v>
      </c>
      <c r="B781" s="23"/>
      <c r="C781" s="472">
        <f>C780-C782</f>
        <v>4713</v>
      </c>
      <c r="D781" s="371">
        <v>0</v>
      </c>
    </row>
    <row r="782" spans="1:4" ht="12" customHeight="1">
      <c r="A782" s="22" t="s">
        <v>288</v>
      </c>
      <c r="B782" s="23"/>
      <c r="C782" s="472">
        <v>150567</v>
      </c>
      <c r="D782" s="371">
        <v>0</v>
      </c>
    </row>
    <row r="783" spans="1:4" ht="12" customHeight="1">
      <c r="A783" s="22" t="s">
        <v>270</v>
      </c>
      <c r="B783" s="23"/>
      <c r="C783" s="472">
        <f>C784</f>
        <v>9139</v>
      </c>
      <c r="D783" s="371">
        <f>D784</f>
        <v>1237</v>
      </c>
    </row>
    <row r="784" spans="1:4" ht="12" customHeight="1">
      <c r="A784" s="22" t="s">
        <v>30</v>
      </c>
      <c r="B784" s="23"/>
      <c r="C784" s="472">
        <v>9139</v>
      </c>
      <c r="D784" s="371">
        <v>1237</v>
      </c>
    </row>
    <row r="785" spans="1:4" ht="12" customHeight="1">
      <c r="A785" s="22" t="s">
        <v>287</v>
      </c>
      <c r="B785" s="23"/>
      <c r="C785" s="472">
        <f>C784-C786</f>
        <v>264</v>
      </c>
      <c r="D785" s="371">
        <f>D784-D786</f>
        <v>126</v>
      </c>
    </row>
    <row r="786" spans="1:4" ht="12" customHeight="1">
      <c r="A786" s="22" t="s">
        <v>268</v>
      </c>
      <c r="B786" s="23"/>
      <c r="C786" s="472">
        <v>8875</v>
      </c>
      <c r="D786" s="371">
        <v>1111</v>
      </c>
    </row>
    <row r="787" spans="1:4" ht="12" customHeight="1">
      <c r="A787" s="35" t="s">
        <v>282</v>
      </c>
      <c r="B787" s="129"/>
      <c r="C787" s="476">
        <f>C786+C782+C779+C775+C772+C768+C765+C760+C757+C752+C749</f>
        <v>331087</v>
      </c>
      <c r="D787" s="376">
        <f>D786+D782+D779+D775+D772+D768+D765+D760+D757+D752+D749</f>
        <v>643995</v>
      </c>
    </row>
    <row r="788" spans="1:4" s="41" customFormat="1" ht="12" customHeight="1">
      <c r="A788" s="35" t="s">
        <v>283</v>
      </c>
      <c r="B788" s="129"/>
      <c r="C788" s="476">
        <f>C789-C787</f>
        <v>20141</v>
      </c>
      <c r="D788" s="376">
        <f>D789-D787</f>
        <v>9900</v>
      </c>
    </row>
    <row r="789" spans="1:4" ht="13.5" thickBot="1">
      <c r="A789" s="31" t="s">
        <v>285</v>
      </c>
      <c r="B789" s="62"/>
      <c r="C789" s="473">
        <f>C776+C762+C754+C746</f>
        <v>351228</v>
      </c>
      <c r="D789" s="372">
        <f>D776+D762+D754+D746</f>
        <v>653895</v>
      </c>
    </row>
    <row r="790" spans="1:4" ht="13.5" thickTop="1">
      <c r="A790" s="506"/>
      <c r="B790" s="477"/>
      <c r="C790" s="479"/>
      <c r="D790" s="478"/>
    </row>
    <row r="791" spans="1:5" ht="17.25" thickBot="1">
      <c r="A791" s="69" t="s">
        <v>289</v>
      </c>
      <c r="B791" s="59"/>
      <c r="C791" s="59"/>
      <c r="D791" s="310"/>
      <c r="E791" s="310"/>
    </row>
    <row r="792" spans="1:4" ht="32.25" thickTop="1">
      <c r="A792" s="361" t="s">
        <v>290</v>
      </c>
      <c r="B792" s="21"/>
      <c r="C792" s="451" t="s">
        <v>2</v>
      </c>
      <c r="D792" s="305" t="s">
        <v>1</v>
      </c>
    </row>
    <row r="793" spans="1:4" s="12" customFormat="1" ht="24" customHeight="1">
      <c r="A793" s="20" t="s">
        <v>291</v>
      </c>
      <c r="B793" s="37"/>
      <c r="C793" s="480">
        <v>1019</v>
      </c>
      <c r="D793" s="377">
        <v>1473</v>
      </c>
    </row>
    <row r="794" spans="1:4" s="60" customFormat="1" ht="12.75">
      <c r="A794" s="20" t="s">
        <v>292</v>
      </c>
      <c r="B794" s="37"/>
      <c r="C794" s="480">
        <v>0</v>
      </c>
      <c r="D794" s="377">
        <v>0</v>
      </c>
    </row>
    <row r="795" spans="1:4" ht="12.75" customHeight="1">
      <c r="A795" s="20" t="s">
        <v>293</v>
      </c>
      <c r="B795" s="37"/>
      <c r="C795" s="480">
        <v>0</v>
      </c>
      <c r="D795" s="377">
        <v>0</v>
      </c>
    </row>
    <row r="796" spans="1:4" ht="12.75" customHeight="1">
      <c r="A796" s="20" t="s">
        <v>294</v>
      </c>
      <c r="B796" s="37"/>
      <c r="C796" s="480">
        <v>4379</v>
      </c>
      <c r="D796" s="377">
        <v>2547</v>
      </c>
    </row>
    <row r="797" spans="1:4" ht="12.75" customHeight="1">
      <c r="A797" s="20" t="s">
        <v>295</v>
      </c>
      <c r="B797" s="37"/>
      <c r="C797" s="480">
        <v>1439</v>
      </c>
      <c r="D797" s="377">
        <v>1794</v>
      </c>
    </row>
    <row r="798" spans="1:4" ht="12.75" customHeight="1">
      <c r="A798" s="20" t="s">
        <v>296</v>
      </c>
      <c r="B798" s="37"/>
      <c r="C798" s="480">
        <v>1115</v>
      </c>
      <c r="D798" s="377">
        <v>1118</v>
      </c>
    </row>
    <row r="799" spans="1:4" ht="12.75" customHeight="1">
      <c r="A799" s="20" t="s">
        <v>297</v>
      </c>
      <c r="B799" s="37"/>
      <c r="C799" s="480">
        <v>0</v>
      </c>
      <c r="D799" s="377">
        <v>0</v>
      </c>
    </row>
    <row r="800" spans="1:4" ht="12.75" customHeight="1">
      <c r="A800" s="20" t="s">
        <v>298</v>
      </c>
      <c r="B800" s="37"/>
      <c r="C800" s="480">
        <v>0</v>
      </c>
      <c r="D800" s="377">
        <v>0</v>
      </c>
    </row>
    <row r="801" spans="1:4" ht="12.75" customHeight="1" thickBot="1">
      <c r="A801" s="28" t="s">
        <v>299</v>
      </c>
      <c r="B801" s="62"/>
      <c r="C801" s="473">
        <f>SUM(C793:C800)</f>
        <v>7952</v>
      </c>
      <c r="D801" s="372">
        <f>SUM(D793:D800)</f>
        <v>6932</v>
      </c>
    </row>
    <row r="802" spans="1:5" ht="12.75" customHeight="1" thickBot="1" thickTop="1">
      <c r="A802" s="33"/>
      <c r="B802" s="25"/>
      <c r="C802" s="25"/>
      <c r="D802" s="274"/>
      <c r="E802" s="274"/>
    </row>
    <row r="803" spans="1:4" ht="12.75" customHeight="1" thickBot="1" thickTop="1">
      <c r="A803" s="168" t="s">
        <v>300</v>
      </c>
      <c r="B803" s="169" t="s">
        <v>301</v>
      </c>
      <c r="C803" s="169"/>
      <c r="D803" s="323"/>
    </row>
    <row r="804" spans="1:5" ht="18.75" customHeight="1" thickBot="1" thickTop="1">
      <c r="A804" s="69" t="s">
        <v>302</v>
      </c>
      <c r="B804" s="59"/>
      <c r="C804" s="59"/>
      <c r="D804" s="310"/>
      <c r="E804" s="310"/>
    </row>
    <row r="805" spans="1:4" s="41" customFormat="1" ht="24.75" customHeight="1" thickTop="1">
      <c r="A805" s="361" t="s">
        <v>303</v>
      </c>
      <c r="B805" s="21"/>
      <c r="C805" s="451" t="s">
        <v>2</v>
      </c>
      <c r="D805" s="305" t="s">
        <v>1</v>
      </c>
    </row>
    <row r="806" spans="1:4" s="92" customFormat="1" ht="12.75">
      <c r="A806" s="20" t="s">
        <v>304</v>
      </c>
      <c r="B806" s="37"/>
      <c r="C806" s="480"/>
      <c r="D806" s="377"/>
    </row>
    <row r="807" spans="1:4" s="92" customFormat="1" ht="12.75">
      <c r="A807" s="20" t="s">
        <v>305</v>
      </c>
      <c r="B807" s="37"/>
      <c r="C807" s="480">
        <f>SUM(C808:C812)</f>
        <v>71400</v>
      </c>
      <c r="D807" s="377">
        <f>SUM(D808:D812)</f>
        <v>26527</v>
      </c>
    </row>
    <row r="808" spans="1:4" s="92" customFormat="1" ht="12.75">
      <c r="A808" s="378" t="s">
        <v>306</v>
      </c>
      <c r="B808" s="37"/>
      <c r="C808" s="480">
        <v>51961</v>
      </c>
      <c r="D808" s="377">
        <v>12981</v>
      </c>
    </row>
    <row r="809" spans="1:4" s="92" customFormat="1" ht="12.75">
      <c r="A809" s="20" t="s">
        <v>307</v>
      </c>
      <c r="B809" s="37"/>
      <c r="C809" s="480">
        <v>0</v>
      </c>
      <c r="D809" s="377">
        <v>0</v>
      </c>
    </row>
    <row r="810" spans="1:4" s="92" customFormat="1" ht="12.75">
      <c r="A810" s="20" t="s">
        <v>308</v>
      </c>
      <c r="B810" s="37"/>
      <c r="C810" s="480">
        <v>14369</v>
      </c>
      <c r="D810" s="377">
        <v>9447</v>
      </c>
    </row>
    <row r="811" spans="1:4" s="92" customFormat="1" ht="12.75">
      <c r="A811" s="20" t="s">
        <v>309</v>
      </c>
      <c r="B811" s="37"/>
      <c r="C811" s="480">
        <v>2006</v>
      </c>
      <c r="D811" s="377">
        <v>1556</v>
      </c>
    </row>
    <row r="812" spans="1:4" s="92" customFormat="1" ht="12.75">
      <c r="A812" s="20" t="s">
        <v>310</v>
      </c>
      <c r="B812" s="37"/>
      <c r="C812" s="480">
        <v>3064</v>
      </c>
      <c r="D812" s="377">
        <v>2543</v>
      </c>
    </row>
    <row r="813" spans="1:4" s="92" customFormat="1" ht="12.75">
      <c r="A813" s="20" t="s">
        <v>311</v>
      </c>
      <c r="B813" s="37"/>
      <c r="C813" s="480">
        <v>1001</v>
      </c>
      <c r="D813" s="377">
        <v>39113</v>
      </c>
    </row>
    <row r="814" spans="1:4" s="92" customFormat="1" ht="12.75">
      <c r="A814" s="152" t="s">
        <v>312</v>
      </c>
      <c r="B814" s="37"/>
      <c r="C814" s="480">
        <v>0</v>
      </c>
      <c r="D814" s="377">
        <v>0</v>
      </c>
    </row>
    <row r="815" spans="1:4" s="92" customFormat="1" ht="13.5" thickBot="1">
      <c r="A815" s="28" t="s">
        <v>313</v>
      </c>
      <c r="B815" s="62"/>
      <c r="C815" s="473">
        <f>C807+C813+C814</f>
        <v>72401</v>
      </c>
      <c r="D815" s="372">
        <f>D807+D813+D814</f>
        <v>65640</v>
      </c>
    </row>
    <row r="816" spans="3:4" s="92" customFormat="1" ht="13.5" thickTop="1">
      <c r="C816" s="324"/>
      <c r="D816" s="324"/>
    </row>
    <row r="817" spans="3:4" s="92" customFormat="1" ht="12.75">
      <c r="C817" s="324"/>
      <c r="D817" s="324"/>
    </row>
    <row r="818" spans="3:4" s="92" customFormat="1" ht="12.75">
      <c r="C818" s="324"/>
      <c r="D818" s="324"/>
    </row>
    <row r="819" spans="3:4" s="92" customFormat="1" ht="12.75">
      <c r="C819" s="324"/>
      <c r="D819" s="324"/>
    </row>
    <row r="820" spans="3:4" s="92" customFormat="1" ht="12.75">
      <c r="C820" s="324"/>
      <c r="D820" s="324"/>
    </row>
    <row r="821" spans="3:4" s="92" customFormat="1" ht="12.75">
      <c r="C821" s="324"/>
      <c r="D821" s="324"/>
    </row>
    <row r="822" spans="3:4" s="92" customFormat="1" ht="12.75">
      <c r="C822" s="324"/>
      <c r="D822" s="324"/>
    </row>
    <row r="823" spans="3:4" s="92" customFormat="1" ht="12.75">
      <c r="C823" s="324"/>
      <c r="D823" s="324"/>
    </row>
    <row r="824" spans="3:4" s="92" customFormat="1" ht="12.75">
      <c r="C824" s="324"/>
      <c r="D824" s="324"/>
    </row>
    <row r="825" spans="3:4" s="92" customFormat="1" ht="12.75">
      <c r="C825" s="324"/>
      <c r="D825" s="324"/>
    </row>
    <row r="826" spans="3:4" s="92" customFormat="1" ht="12.75">
      <c r="C826" s="324"/>
      <c r="D826" s="324"/>
    </row>
    <row r="827" spans="3:4" s="92" customFormat="1" ht="12.75">
      <c r="C827" s="324"/>
      <c r="D827" s="324"/>
    </row>
    <row r="828" spans="3:4" s="92" customFormat="1" ht="12.75">
      <c r="C828" s="324"/>
      <c r="D828" s="324"/>
    </row>
    <row r="829" spans="3:4" s="92" customFormat="1" ht="12.75">
      <c r="C829" s="324"/>
      <c r="D829" s="324"/>
    </row>
    <row r="830" spans="3:4" s="92" customFormat="1" ht="12.75">
      <c r="C830" s="324"/>
      <c r="D830" s="324"/>
    </row>
    <row r="831" spans="3:4" s="92" customFormat="1" ht="12.75">
      <c r="C831" s="324"/>
      <c r="D831" s="324"/>
    </row>
    <row r="832" spans="3:4" s="92" customFormat="1" ht="12.75">
      <c r="C832" s="324"/>
      <c r="D832" s="324"/>
    </row>
    <row r="833" spans="3:4" s="92" customFormat="1" ht="12.75">
      <c r="C833" s="324"/>
      <c r="D833" s="324"/>
    </row>
    <row r="834" spans="3:4" s="92" customFormat="1" ht="8.25" customHeight="1">
      <c r="C834" s="324"/>
      <c r="D834" s="324"/>
    </row>
    <row r="835" spans="1:4" ht="12.75" customHeight="1">
      <c r="A835" s="92"/>
      <c r="B835" s="92"/>
      <c r="C835" s="324"/>
      <c r="D835" s="324"/>
    </row>
    <row r="836" spans="1:4" ht="12.75" customHeight="1">
      <c r="A836" s="92"/>
      <c r="B836" s="92"/>
      <c r="C836" s="324"/>
      <c r="D836" s="324"/>
    </row>
    <row r="837" spans="1:4" ht="12.75" customHeight="1">
      <c r="A837" s="92"/>
      <c r="B837" s="92"/>
      <c r="C837" s="324"/>
      <c r="D837" s="324"/>
    </row>
    <row r="838" spans="1:4" ht="12.75" customHeight="1">
      <c r="A838" s="92"/>
      <c r="B838" s="92"/>
      <c r="C838" s="324"/>
      <c r="D838" s="324"/>
    </row>
    <row r="839" spans="1:4" ht="24" customHeight="1">
      <c r="A839" s="92"/>
      <c r="B839" s="92"/>
      <c r="C839" s="324"/>
      <c r="D839" s="324"/>
    </row>
    <row r="840" spans="1:4" ht="12.75" customHeight="1">
      <c r="A840" s="92"/>
      <c r="B840" s="92"/>
      <c r="C840" s="324"/>
      <c r="D840" s="324"/>
    </row>
    <row r="841" spans="1:4" ht="12.75" customHeight="1">
      <c r="A841" s="92"/>
      <c r="B841" s="92"/>
      <c r="C841" s="324"/>
      <c r="D841" s="324"/>
    </row>
    <row r="842" spans="1:4" s="41" customFormat="1" ht="12.75" customHeight="1">
      <c r="A842" s="92"/>
      <c r="B842" s="92"/>
      <c r="C842" s="324"/>
      <c r="D842" s="324"/>
    </row>
    <row r="843" spans="1:4" ht="12.75" customHeight="1">
      <c r="A843" s="92"/>
      <c r="B843" s="92"/>
      <c r="C843" s="324"/>
      <c r="D843" s="324"/>
    </row>
    <row r="844" spans="1:4" ht="12.75" customHeight="1">
      <c r="A844" s="92"/>
      <c r="B844" s="92"/>
      <c r="C844" s="324"/>
      <c r="D844" s="324"/>
    </row>
    <row r="845" spans="1:4" ht="24" customHeight="1">
      <c r="A845" s="39"/>
      <c r="B845" s="25"/>
      <c r="C845" s="274"/>
      <c r="D845" s="274"/>
    </row>
    <row r="846" spans="1:4" ht="12" customHeight="1" thickBot="1">
      <c r="A846" s="39"/>
      <c r="B846" s="25"/>
      <c r="C846" s="274"/>
      <c r="D846" s="274"/>
    </row>
    <row r="847" spans="1:4" ht="20.25" customHeight="1" thickTop="1">
      <c r="A847" s="361" t="s">
        <v>314</v>
      </c>
      <c r="B847" s="21"/>
      <c r="C847" s="451" t="s">
        <v>2</v>
      </c>
      <c r="D847" s="305" t="s">
        <v>1</v>
      </c>
    </row>
    <row r="848" spans="1:4" ht="12.75" customHeight="1">
      <c r="A848" s="20" t="s">
        <v>315</v>
      </c>
      <c r="B848" s="37"/>
      <c r="C848" s="480">
        <v>71400</v>
      </c>
      <c r="D848" s="377">
        <v>26527</v>
      </c>
    </row>
    <row r="849" spans="1:4" s="41" customFormat="1" ht="12.75" customHeight="1">
      <c r="A849" s="20" t="s">
        <v>316</v>
      </c>
      <c r="B849" s="37"/>
      <c r="C849" s="480">
        <v>0</v>
      </c>
      <c r="D849" s="377">
        <v>0</v>
      </c>
    </row>
    <row r="850" spans="1:4" s="60" customFormat="1" ht="13.5" thickBot="1">
      <c r="A850" s="26" t="s">
        <v>317</v>
      </c>
      <c r="B850" s="42"/>
      <c r="C850" s="481">
        <f>SUM(C848:C849)</f>
        <v>71400</v>
      </c>
      <c r="D850" s="397">
        <f>SUM(D848:D849)</f>
        <v>26527</v>
      </c>
    </row>
    <row r="851" spans="1:4" s="60" customFormat="1" ht="14.25" thickBot="1" thickTop="1">
      <c r="A851" s="27"/>
      <c r="B851" s="40"/>
      <c r="C851" s="327"/>
      <c r="D851" s="327"/>
    </row>
    <row r="852" spans="1:4" s="60" customFormat="1" ht="28.5" customHeight="1" thickTop="1">
      <c r="A852" s="361" t="s">
        <v>318</v>
      </c>
      <c r="B852" s="21"/>
      <c r="C852" s="451" t="s">
        <v>2</v>
      </c>
      <c r="D852" s="305" t="s">
        <v>1</v>
      </c>
    </row>
    <row r="853" spans="1:4" s="60" customFormat="1" ht="24">
      <c r="A853" s="20" t="s">
        <v>319</v>
      </c>
      <c r="B853" s="37"/>
      <c r="C853" s="480">
        <v>1775</v>
      </c>
      <c r="D853" s="377">
        <v>1775</v>
      </c>
    </row>
    <row r="854" spans="1:4" s="60" customFormat="1" ht="12.75">
      <c r="A854" s="20" t="s">
        <v>320</v>
      </c>
      <c r="B854" s="37"/>
      <c r="C854" s="480">
        <v>1775</v>
      </c>
      <c r="D854" s="377">
        <v>1775</v>
      </c>
    </row>
    <row r="855" spans="1:4" ht="13.5" thickBot="1">
      <c r="A855" s="26" t="s">
        <v>321</v>
      </c>
      <c r="B855" s="42"/>
      <c r="C855" s="481">
        <f>C853</f>
        <v>1775</v>
      </c>
      <c r="D855" s="397">
        <f>D853</f>
        <v>1775</v>
      </c>
    </row>
    <row r="856" spans="1:4" ht="13.5" thickTop="1">
      <c r="A856" s="33"/>
      <c r="B856" s="25"/>
      <c r="C856" s="274"/>
      <c r="D856" s="274"/>
    </row>
    <row r="857" spans="1:4" ht="16.5">
      <c r="A857" s="69" t="s">
        <v>322</v>
      </c>
      <c r="B857" s="59"/>
      <c r="C857" s="310"/>
      <c r="D857" s="310"/>
    </row>
    <row r="858" spans="1:4" ht="16.5">
      <c r="A858" s="69"/>
      <c r="B858" s="59"/>
      <c r="C858" s="310"/>
      <c r="D858" s="310"/>
    </row>
    <row r="859" spans="1:4" ht="16.5">
      <c r="A859" s="69"/>
      <c r="B859" s="59"/>
      <c r="C859" s="310"/>
      <c r="D859" s="310"/>
    </row>
    <row r="860" spans="1:4" ht="16.5">
      <c r="A860" s="69"/>
      <c r="B860" s="59"/>
      <c r="C860" s="310"/>
      <c r="D860" s="310"/>
    </row>
    <row r="861" spans="1:4" ht="16.5">
      <c r="A861" s="69"/>
      <c r="B861" s="59"/>
      <c r="C861" s="310"/>
      <c r="D861" s="310"/>
    </row>
    <row r="862" spans="1:4" ht="4.5" customHeight="1">
      <c r="A862" s="69"/>
      <c r="B862" s="59"/>
      <c r="C862" s="310"/>
      <c r="D862" s="310"/>
    </row>
    <row r="863" spans="1:4" s="60" customFormat="1" ht="7.5" customHeight="1">
      <c r="A863" s="69"/>
      <c r="B863" s="59"/>
      <c r="C863" s="310"/>
      <c r="D863" s="310"/>
    </row>
    <row r="864" spans="1:4" ht="12" customHeight="1">
      <c r="A864" s="33"/>
      <c r="B864" s="25"/>
      <c r="C864" s="274"/>
      <c r="D864" s="274"/>
    </row>
    <row r="865" spans="1:4" ht="12" customHeight="1">
      <c r="A865" s="33"/>
      <c r="B865" s="25"/>
      <c r="C865" s="274"/>
      <c r="D865" s="274"/>
    </row>
    <row r="866" spans="1:4" ht="12" customHeight="1">
      <c r="A866" s="33"/>
      <c r="B866" s="25"/>
      <c r="C866" s="274"/>
      <c r="D866" s="274"/>
    </row>
    <row r="867" spans="1:4" ht="12" customHeight="1">
      <c r="A867" s="33"/>
      <c r="B867" s="25"/>
      <c r="C867" s="274"/>
      <c r="D867" s="274"/>
    </row>
    <row r="868" spans="1:4" ht="12" customHeight="1">
      <c r="A868" s="33"/>
      <c r="B868" s="25"/>
      <c r="C868" s="274"/>
      <c r="D868" s="274"/>
    </row>
    <row r="869" spans="1:4" ht="15.75" customHeight="1" thickBot="1">
      <c r="A869" s="69" t="s">
        <v>323</v>
      </c>
      <c r="B869" s="59"/>
      <c r="C869" s="310"/>
      <c r="D869" s="310"/>
    </row>
    <row r="870" spans="1:4" ht="21.75" customHeight="1" thickTop="1">
      <c r="A870" s="361" t="s">
        <v>324</v>
      </c>
      <c r="B870" s="21"/>
      <c r="C870" s="451" t="s">
        <v>2</v>
      </c>
      <c r="D870" s="305" t="s">
        <v>1</v>
      </c>
    </row>
    <row r="871" spans="1:4" ht="12" customHeight="1">
      <c r="A871" s="20" t="s">
        <v>325</v>
      </c>
      <c r="B871" s="37"/>
      <c r="C871" s="480">
        <v>0</v>
      </c>
      <c r="D871" s="377">
        <v>0</v>
      </c>
    </row>
    <row r="872" spans="1:4" ht="12" customHeight="1">
      <c r="A872" s="20" t="s">
        <v>326</v>
      </c>
      <c r="B872" s="37"/>
      <c r="C872" s="480">
        <f>SUM(C873:C877)</f>
        <v>29899</v>
      </c>
      <c r="D872" s="377">
        <f>SUM(D873:D877)</f>
        <v>23936</v>
      </c>
    </row>
    <row r="873" spans="1:4" ht="12" customHeight="1">
      <c r="A873" s="20" t="s">
        <v>42</v>
      </c>
      <c r="B873" s="37"/>
      <c r="C873" s="480">
        <v>0</v>
      </c>
      <c r="D873" s="377">
        <v>5000</v>
      </c>
    </row>
    <row r="874" spans="1:4" ht="12" customHeight="1">
      <c r="A874" s="20" t="s">
        <v>43</v>
      </c>
      <c r="B874" s="37"/>
      <c r="C874" s="480">
        <v>76</v>
      </c>
      <c r="D874" s="377">
        <v>343</v>
      </c>
    </row>
    <row r="875" spans="1:4" s="41" customFormat="1" ht="12" customHeight="1">
      <c r="A875" s="20" t="s">
        <v>44</v>
      </c>
      <c r="B875" s="37"/>
      <c r="C875" s="480">
        <v>5505</v>
      </c>
      <c r="D875" s="377">
        <v>17419</v>
      </c>
    </row>
    <row r="876" spans="1:4" ht="12.75" customHeight="1">
      <c r="A876" s="20" t="s">
        <v>45</v>
      </c>
      <c r="B876" s="37"/>
      <c r="C876" s="480">
        <v>24300</v>
      </c>
      <c r="D876" s="377">
        <v>971</v>
      </c>
    </row>
    <row r="877" spans="1:4" ht="12" customHeight="1">
      <c r="A877" s="20" t="s">
        <v>46</v>
      </c>
      <c r="B877" s="37"/>
      <c r="C877" s="480">
        <v>18</v>
      </c>
      <c r="D877" s="377">
        <v>203</v>
      </c>
    </row>
    <row r="878" spans="1:4" ht="12" customHeight="1" thickBot="1">
      <c r="A878" s="26" t="s">
        <v>327</v>
      </c>
      <c r="B878" s="42"/>
      <c r="C878" s="481">
        <f>C871+C872</f>
        <v>29899</v>
      </c>
      <c r="D878" s="397">
        <f>D871+D872</f>
        <v>23936</v>
      </c>
    </row>
    <row r="879" spans="1:4" s="653" customFormat="1" ht="32.25" customHeight="1" thickBot="1" thickTop="1">
      <c r="A879" s="654"/>
      <c r="B879" s="654"/>
      <c r="C879" s="654"/>
      <c r="D879" s="654"/>
    </row>
    <row r="880" spans="1:4" ht="21.75" customHeight="1" thickTop="1">
      <c r="A880" s="361" t="s">
        <v>328</v>
      </c>
      <c r="B880" s="21"/>
      <c r="C880" s="451" t="s">
        <v>2</v>
      </c>
      <c r="D880" s="305" t="s">
        <v>1</v>
      </c>
    </row>
    <row r="881" spans="1:4" ht="12" customHeight="1">
      <c r="A881" s="20" t="s">
        <v>329</v>
      </c>
      <c r="B881" s="37"/>
      <c r="C881" s="480">
        <v>0</v>
      </c>
      <c r="D881" s="377">
        <v>0</v>
      </c>
    </row>
    <row r="882" spans="1:4" ht="12" customHeight="1">
      <c r="A882" s="20" t="s">
        <v>330</v>
      </c>
      <c r="B882" s="37"/>
      <c r="C882" s="480">
        <v>0</v>
      </c>
      <c r="D882" s="377">
        <v>0</v>
      </c>
    </row>
    <row r="883" spans="1:4" ht="12" customHeight="1">
      <c r="A883" s="20" t="s">
        <v>331</v>
      </c>
      <c r="B883" s="37"/>
      <c r="C883" s="480">
        <v>0</v>
      </c>
      <c r="D883" s="377">
        <v>0</v>
      </c>
    </row>
    <row r="884" spans="1:4" ht="12" customHeight="1">
      <c r="A884" s="20" t="s">
        <v>332</v>
      </c>
      <c r="B884" s="37"/>
      <c r="C884" s="480">
        <v>0</v>
      </c>
      <c r="D884" s="377">
        <v>0</v>
      </c>
    </row>
    <row r="885" spans="1:4" ht="12" customHeight="1" thickBot="1">
      <c r="A885" s="26" t="s">
        <v>333</v>
      </c>
      <c r="B885" s="42"/>
      <c r="C885" s="481">
        <f>SUM(C881:C884)</f>
        <v>0</v>
      </c>
      <c r="D885" s="397">
        <f>SUM(D881:D884)</f>
        <v>0</v>
      </c>
    </row>
    <row r="886" spans="1:4" ht="12" customHeight="1" thickBot="1" thickTop="1">
      <c r="A886" s="33"/>
      <c r="B886" s="25"/>
      <c r="C886" s="274"/>
      <c r="D886" s="274"/>
    </row>
    <row r="887" spans="1:4" s="41" customFormat="1" ht="33.75" customHeight="1" thickTop="1">
      <c r="A887" s="361" t="s">
        <v>334</v>
      </c>
      <c r="B887" s="21"/>
      <c r="C887" s="451" t="s">
        <v>11</v>
      </c>
      <c r="D887" s="305" t="s">
        <v>4</v>
      </c>
    </row>
    <row r="888" spans="1:4" ht="12.75" customHeight="1">
      <c r="A888" s="20" t="s">
        <v>335</v>
      </c>
      <c r="B888" s="37"/>
      <c r="C888" s="480">
        <v>0</v>
      </c>
      <c r="D888" s="377">
        <v>0</v>
      </c>
    </row>
    <row r="889" spans="1:4" s="60" customFormat="1" ht="12.75" customHeight="1">
      <c r="A889" s="20" t="s">
        <v>336</v>
      </c>
      <c r="B889" s="37"/>
      <c r="C889" s="480">
        <f>C890</f>
        <v>40</v>
      </c>
      <c r="D889" s="377">
        <f>D890</f>
        <v>27</v>
      </c>
    </row>
    <row r="890" spans="1:4" ht="12.75" customHeight="1">
      <c r="A890" s="20" t="s">
        <v>1009</v>
      </c>
      <c r="B890" s="37"/>
      <c r="C890" s="480">
        <v>40</v>
      </c>
      <c r="D890" s="377">
        <v>27</v>
      </c>
    </row>
    <row r="891" spans="1:4" ht="12.75" customHeight="1">
      <c r="A891" s="20" t="s">
        <v>337</v>
      </c>
      <c r="B891" s="37"/>
      <c r="C891" s="480">
        <f>C892</f>
        <v>40</v>
      </c>
      <c r="D891" s="377">
        <f>D892</f>
        <v>27</v>
      </c>
    </row>
    <row r="892" spans="1:4" ht="12" customHeight="1">
      <c r="A892" s="20" t="s">
        <v>47</v>
      </c>
      <c r="B892" s="37"/>
      <c r="C892" s="480">
        <v>40</v>
      </c>
      <c r="D892" s="377">
        <v>27</v>
      </c>
    </row>
    <row r="893" spans="1:4" ht="12" customHeight="1" thickBot="1">
      <c r="A893" s="26" t="s">
        <v>391</v>
      </c>
      <c r="B893" s="42"/>
      <c r="C893" s="481">
        <f>C888+C889-C891</f>
        <v>0</v>
      </c>
      <c r="D893" s="397">
        <f>D888+D889-D891</f>
        <v>0</v>
      </c>
    </row>
    <row r="894" spans="1:4" ht="21" customHeight="1" thickBot="1" thickTop="1">
      <c r="A894" s="69" t="s">
        <v>338</v>
      </c>
      <c r="B894" s="59"/>
      <c r="C894" s="310"/>
      <c r="D894" s="310"/>
    </row>
    <row r="895" spans="1:4" s="41" customFormat="1" ht="33.75" customHeight="1" thickTop="1">
      <c r="A895" s="361" t="s">
        <v>339</v>
      </c>
      <c r="B895" s="21"/>
      <c r="C895" s="451" t="s">
        <v>11</v>
      </c>
      <c r="D895" s="305" t="s">
        <v>4</v>
      </c>
    </row>
    <row r="896" spans="1:4" ht="24">
      <c r="A896" s="20" t="s">
        <v>340</v>
      </c>
      <c r="B896" s="37"/>
      <c r="C896" s="480">
        <v>0</v>
      </c>
      <c r="D896" s="377">
        <v>0</v>
      </c>
    </row>
    <row r="897" spans="1:4" ht="12.75" customHeight="1">
      <c r="A897" s="20" t="s">
        <v>796</v>
      </c>
      <c r="B897" s="37"/>
      <c r="C897" s="480">
        <v>0</v>
      </c>
      <c r="D897" s="377">
        <v>0</v>
      </c>
    </row>
    <row r="898" spans="1:4" ht="12.75" customHeight="1">
      <c r="A898" s="20" t="s">
        <v>798</v>
      </c>
      <c r="B898" s="37"/>
      <c r="C898" s="480">
        <v>0</v>
      </c>
      <c r="D898" s="377">
        <v>0</v>
      </c>
    </row>
    <row r="899" spans="1:4" ht="12.75" customHeight="1" thickBot="1">
      <c r="A899" s="26" t="s">
        <v>341</v>
      </c>
      <c r="B899" s="42"/>
      <c r="C899" s="481">
        <f>C896+C897-C898</f>
        <v>0</v>
      </c>
      <c r="D899" s="397">
        <f>D896+D897-D898</f>
        <v>0</v>
      </c>
    </row>
    <row r="900" spans="1:4" ht="12.75" customHeight="1" thickBot="1" thickTop="1">
      <c r="A900" s="33"/>
      <c r="B900" s="25"/>
      <c r="C900" s="274"/>
      <c r="D900" s="274"/>
    </row>
    <row r="901" spans="1:4" ht="24.75" customHeight="1" thickTop="1">
      <c r="A901" s="4" t="s">
        <v>342</v>
      </c>
      <c r="B901" s="21"/>
      <c r="C901" s="451" t="s">
        <v>2</v>
      </c>
      <c r="D901" s="305" t="s">
        <v>1</v>
      </c>
    </row>
    <row r="902" spans="1:4" s="41" customFormat="1" ht="12.75" customHeight="1">
      <c r="A902" s="20" t="s">
        <v>343</v>
      </c>
      <c r="B902" s="37"/>
      <c r="C902" s="480">
        <f>C903+C904</f>
        <v>1490</v>
      </c>
      <c r="D902" s="377">
        <f>SUM(D903:D904)</f>
        <v>1163</v>
      </c>
    </row>
    <row r="903" spans="1:4" ht="12.75">
      <c r="A903" s="20" t="s">
        <v>48</v>
      </c>
      <c r="B903" s="37"/>
      <c r="C903" s="480">
        <v>1095</v>
      </c>
      <c r="D903" s="377">
        <v>962</v>
      </c>
    </row>
    <row r="904" spans="1:4" ht="12.75" customHeight="1">
      <c r="A904" s="20" t="s">
        <v>49</v>
      </c>
      <c r="B904" s="37"/>
      <c r="C904" s="480">
        <v>395</v>
      </c>
      <c r="D904" s="377">
        <v>201</v>
      </c>
    </row>
    <row r="905" spans="1:4" ht="12.75">
      <c r="A905" s="20" t="s">
        <v>344</v>
      </c>
      <c r="B905" s="37"/>
      <c r="C905" s="480">
        <v>0</v>
      </c>
      <c r="D905" s="377">
        <v>0</v>
      </c>
    </row>
    <row r="906" spans="1:4" ht="13.5" thickBot="1">
      <c r="A906" s="26" t="s">
        <v>345</v>
      </c>
      <c r="B906" s="42"/>
      <c r="C906" s="481">
        <f>C905+C902</f>
        <v>1490</v>
      </c>
      <c r="D906" s="397">
        <f>D902+D905</f>
        <v>1163</v>
      </c>
    </row>
    <row r="907" spans="1:4" ht="12" customHeight="1" thickTop="1">
      <c r="A907" s="33"/>
      <c r="B907" s="25"/>
      <c r="C907" s="274"/>
      <c r="D907" s="274"/>
    </row>
    <row r="908" spans="1:4" ht="12" customHeight="1">
      <c r="A908" s="33"/>
      <c r="B908" s="25"/>
      <c r="C908" s="274"/>
      <c r="D908" s="274"/>
    </row>
    <row r="909" spans="1:4" ht="12" customHeight="1">
      <c r="A909" s="33"/>
      <c r="B909" s="25"/>
      <c r="C909" s="274"/>
      <c r="D909" s="274"/>
    </row>
    <row r="910" spans="1:4" ht="12" customHeight="1">
      <c r="A910" s="33"/>
      <c r="B910" s="25"/>
      <c r="C910" s="274"/>
      <c r="D910" s="274"/>
    </row>
    <row r="911" spans="1:4" ht="12" customHeight="1">
      <c r="A911" s="33"/>
      <c r="B911" s="25"/>
      <c r="C911" s="274"/>
      <c r="D911" s="274"/>
    </row>
    <row r="912" spans="1:4" ht="12" customHeight="1">
      <c r="A912" s="33"/>
      <c r="B912" s="25"/>
      <c r="C912" s="274"/>
      <c r="D912" s="274"/>
    </row>
    <row r="913" spans="1:4" s="41" customFormat="1" ht="12" customHeight="1">
      <c r="A913" s="33"/>
      <c r="B913" s="25"/>
      <c r="C913" s="274"/>
      <c r="D913" s="274"/>
    </row>
    <row r="914" spans="1:4" ht="33.75" customHeight="1" thickBot="1">
      <c r="A914" s="507" t="s">
        <v>346</v>
      </c>
      <c r="B914" s="59"/>
      <c r="C914" s="310"/>
      <c r="D914" s="310"/>
    </row>
    <row r="915" spans="1:4" ht="22.5" customHeight="1" thickTop="1">
      <c r="A915" s="4" t="s">
        <v>347</v>
      </c>
      <c r="B915" s="21"/>
      <c r="C915" s="451" t="s">
        <v>2</v>
      </c>
      <c r="D915" s="305" t="s">
        <v>1</v>
      </c>
    </row>
    <row r="916" spans="1:4" ht="12" customHeight="1">
      <c r="A916" s="20" t="s">
        <v>348</v>
      </c>
      <c r="B916" s="37"/>
      <c r="C916" s="480">
        <v>363853</v>
      </c>
      <c r="D916" s="377">
        <f>148574+4651</f>
        <v>153225</v>
      </c>
    </row>
    <row r="917" spans="1:4" ht="12" customHeight="1">
      <c r="A917" s="20" t="s">
        <v>349</v>
      </c>
      <c r="B917" s="37"/>
      <c r="C917" s="480">
        <v>63186</v>
      </c>
      <c r="D917" s="377">
        <v>0</v>
      </c>
    </row>
    <row r="918" spans="1:4" ht="12" customHeight="1">
      <c r="A918" s="20" t="s">
        <v>350</v>
      </c>
      <c r="B918" s="37"/>
      <c r="C918" s="480">
        <v>0</v>
      </c>
      <c r="D918" s="377">
        <v>0</v>
      </c>
    </row>
    <row r="919" spans="1:4" ht="12" customHeight="1">
      <c r="A919" s="20" t="s">
        <v>351</v>
      </c>
      <c r="B919" s="37"/>
      <c r="C919" s="480">
        <v>1719</v>
      </c>
      <c r="D919" s="377">
        <f>1636+119</f>
        <v>1755</v>
      </c>
    </row>
    <row r="920" spans="1:4" ht="12" customHeight="1" thickBot="1">
      <c r="A920" s="26" t="s">
        <v>352</v>
      </c>
      <c r="B920" s="42"/>
      <c r="C920" s="482">
        <f>SUM(C916:C919)</f>
        <v>428758</v>
      </c>
      <c r="D920" s="398">
        <f>SUM(D916:D919)</f>
        <v>154980</v>
      </c>
    </row>
    <row r="921" spans="1:4" ht="12" customHeight="1" thickBot="1" thickTop="1">
      <c r="A921" s="33"/>
      <c r="B921" s="25"/>
      <c r="C921" s="274"/>
      <c r="D921" s="274"/>
    </row>
    <row r="922" spans="1:4" s="41" customFormat="1" ht="25.5" customHeight="1" thickTop="1">
      <c r="A922" s="4" t="s">
        <v>353</v>
      </c>
      <c r="B922" s="21"/>
      <c r="C922" s="451" t="s">
        <v>2</v>
      </c>
      <c r="D922" s="305" t="s">
        <v>1</v>
      </c>
    </row>
    <row r="923" spans="1:4" ht="12.75" customHeight="1">
      <c r="A923" s="20" t="s">
        <v>354</v>
      </c>
      <c r="B923" s="37"/>
      <c r="C923" s="480">
        <v>7660</v>
      </c>
      <c r="D923" s="377">
        <f>5132+1928</f>
        <v>7060</v>
      </c>
    </row>
    <row r="924" spans="1:4" ht="12.75" customHeight="1">
      <c r="A924" s="378" t="s">
        <v>355</v>
      </c>
      <c r="B924" s="37"/>
      <c r="C924" s="480">
        <f>SUM(C925:C930)</f>
        <v>419379</v>
      </c>
      <c r="D924" s="377">
        <f>SUM(D925:D930)</f>
        <v>146165</v>
      </c>
    </row>
    <row r="925" spans="1:4" ht="12" customHeight="1">
      <c r="A925" s="20" t="s">
        <v>153</v>
      </c>
      <c r="B925" s="37"/>
      <c r="C925" s="480">
        <v>339644</v>
      </c>
      <c r="D925" s="377">
        <f>78611+1645</f>
        <v>80256</v>
      </c>
    </row>
    <row r="926" spans="1:4" ht="12" customHeight="1">
      <c r="A926" s="20" t="s">
        <v>356</v>
      </c>
      <c r="B926" s="37"/>
      <c r="C926" s="480">
        <v>5039</v>
      </c>
      <c r="D926" s="377">
        <f>63533+800</f>
        <v>64333</v>
      </c>
    </row>
    <row r="927" spans="1:4" ht="12" customHeight="1">
      <c r="A927" s="20" t="s">
        <v>155</v>
      </c>
      <c r="B927" s="37"/>
      <c r="C927" s="480">
        <v>11510</v>
      </c>
      <c r="D927" s="377">
        <f>1198+278</f>
        <v>1476</v>
      </c>
    </row>
    <row r="928" spans="1:4" ht="12" customHeight="1">
      <c r="A928" s="20" t="s">
        <v>156</v>
      </c>
      <c r="B928" s="37"/>
      <c r="C928" s="480">
        <v>63186</v>
      </c>
      <c r="D928" s="377">
        <v>100</v>
      </c>
    </row>
    <row r="929" spans="1:4" ht="12" customHeight="1">
      <c r="A929" s="20" t="s">
        <v>157</v>
      </c>
      <c r="B929" s="37"/>
      <c r="C929" s="480">
        <v>0</v>
      </c>
      <c r="D929" s="377">
        <v>0</v>
      </c>
    </row>
    <row r="930" spans="1:4" ht="12" customHeight="1">
      <c r="A930" s="20" t="s">
        <v>357</v>
      </c>
      <c r="B930" s="37"/>
      <c r="C930" s="480">
        <v>0</v>
      </c>
      <c r="D930" s="377">
        <v>0</v>
      </c>
    </row>
    <row r="931" spans="1:4" ht="12" customHeight="1">
      <c r="A931" s="20" t="s">
        <v>1040</v>
      </c>
      <c r="B931" s="37"/>
      <c r="C931" s="480">
        <v>1719</v>
      </c>
      <c r="D931" s="377">
        <f>1636+119</f>
        <v>1755</v>
      </c>
    </row>
    <row r="932" spans="1:4" ht="12" customHeight="1" thickBot="1">
      <c r="A932" s="26" t="s">
        <v>358</v>
      </c>
      <c r="B932" s="42"/>
      <c r="C932" s="481">
        <f>C923+C924+C931</f>
        <v>428758</v>
      </c>
      <c r="D932" s="398">
        <f>D923+D924+D931</f>
        <v>154980</v>
      </c>
    </row>
    <row r="933" spans="1:4" s="41" customFormat="1" ht="12" customHeight="1" thickBot="1" thickTop="1">
      <c r="A933" s="33"/>
      <c r="B933" s="25"/>
      <c r="C933" s="274"/>
      <c r="D933" s="274"/>
    </row>
    <row r="934" spans="1:4" s="41" customFormat="1" ht="29.25" customHeight="1" thickTop="1">
      <c r="A934" s="4" t="s">
        <v>360</v>
      </c>
      <c r="B934" s="21"/>
      <c r="C934" s="451" t="s">
        <v>2</v>
      </c>
      <c r="D934" s="305" t="s">
        <v>1</v>
      </c>
    </row>
    <row r="935" spans="1:4" ht="12.75" customHeight="1">
      <c r="A935" s="20" t="s">
        <v>354</v>
      </c>
      <c r="B935" s="37"/>
      <c r="C935" s="480">
        <v>7660</v>
      </c>
      <c r="D935" s="377">
        <f>5132+1928</f>
        <v>7060</v>
      </c>
    </row>
    <row r="936" spans="1:4" s="41" customFormat="1" ht="12.75">
      <c r="A936" s="20" t="s">
        <v>361</v>
      </c>
      <c r="B936" s="37"/>
      <c r="C936" s="480">
        <f>SUM(C937:C941)</f>
        <v>419379</v>
      </c>
      <c r="D936" s="377">
        <f>SUM(D937:D941)</f>
        <v>146165</v>
      </c>
    </row>
    <row r="937" spans="1:4" s="41" customFormat="1" ht="12.75">
      <c r="A937" s="20" t="s">
        <v>153</v>
      </c>
      <c r="B937" s="37"/>
      <c r="C937" s="480">
        <f>202156+137047</f>
        <v>339203</v>
      </c>
      <c r="D937" s="377">
        <f>78301+1632</f>
        <v>79933</v>
      </c>
    </row>
    <row r="938" spans="1:4" s="41" customFormat="1" ht="12.75">
      <c r="A938" s="20" t="s">
        <v>356</v>
      </c>
      <c r="B938" s="37"/>
      <c r="C938" s="480">
        <v>5035</v>
      </c>
      <c r="D938" s="377">
        <f>63473+42</f>
        <v>63515</v>
      </c>
    </row>
    <row r="939" spans="1:4" s="41" customFormat="1" ht="12.75">
      <c r="A939" s="20" t="s">
        <v>155</v>
      </c>
      <c r="B939" s="37"/>
      <c r="C939" s="480">
        <v>11855</v>
      </c>
      <c r="D939" s="377">
        <f>1568+949</f>
        <v>2517</v>
      </c>
    </row>
    <row r="940" spans="1:4" s="41" customFormat="1" ht="12.75">
      <c r="A940" s="20" t="s">
        <v>156</v>
      </c>
      <c r="B940" s="37"/>
      <c r="C940" s="480">
        <f>100+63186</f>
        <v>63286</v>
      </c>
      <c r="D940" s="377">
        <f>100+100</f>
        <v>200</v>
      </c>
    </row>
    <row r="941" spans="1:4" s="41" customFormat="1" ht="12.75">
      <c r="A941" s="20" t="s">
        <v>157</v>
      </c>
      <c r="B941" s="37"/>
      <c r="C941" s="480">
        <v>0</v>
      </c>
      <c r="D941" s="377">
        <v>0</v>
      </c>
    </row>
    <row r="942" spans="1:4" s="41" customFormat="1" ht="12.75">
      <c r="A942" s="20" t="s">
        <v>1040</v>
      </c>
      <c r="B942" s="37"/>
      <c r="C942" s="480">
        <v>1719</v>
      </c>
      <c r="D942" s="377">
        <f>1636+119</f>
        <v>1755</v>
      </c>
    </row>
    <row r="943" spans="1:4" s="41" customFormat="1" ht="13.5" thickBot="1">
      <c r="A943" s="26" t="s">
        <v>358</v>
      </c>
      <c r="B943" s="42"/>
      <c r="C943" s="481">
        <f>C935+C936+C942</f>
        <v>428758</v>
      </c>
      <c r="D943" s="397">
        <f>D935+D936+D942</f>
        <v>154980</v>
      </c>
    </row>
    <row r="944" spans="1:4" s="41" customFormat="1" ht="14.25" thickBot="1" thickTop="1">
      <c r="A944" s="27"/>
      <c r="B944" s="43"/>
      <c r="C944" s="327"/>
      <c r="D944" s="327"/>
    </row>
    <row r="945" spans="1:4" s="41" customFormat="1" ht="32.25" thickTop="1">
      <c r="A945" s="361" t="s">
        <v>362</v>
      </c>
      <c r="B945" s="21"/>
      <c r="C945" s="451" t="s">
        <v>2</v>
      </c>
      <c r="D945" s="305" t="s">
        <v>1</v>
      </c>
    </row>
    <row r="946" spans="1:4" s="41" customFormat="1" ht="12.75" customHeight="1">
      <c r="A946" s="101" t="s">
        <v>1016</v>
      </c>
      <c r="B946" s="103"/>
      <c r="C946" s="475">
        <v>363587</v>
      </c>
      <c r="D946" s="374">
        <f>114032+4770</f>
        <v>118802</v>
      </c>
    </row>
    <row r="947" spans="1:4" ht="12.75">
      <c r="A947" s="107" t="s">
        <v>1017</v>
      </c>
      <c r="B947" s="104"/>
      <c r="C947" s="475">
        <f>C949+C951</f>
        <v>65171</v>
      </c>
      <c r="D947" s="483">
        <f>D949+D952+D951</f>
        <v>36178</v>
      </c>
    </row>
    <row r="948" spans="1:4" ht="12.75" customHeight="1">
      <c r="A948" s="102" t="s">
        <v>12</v>
      </c>
      <c r="B948" s="106"/>
      <c r="C948" s="401">
        <v>400</v>
      </c>
      <c r="D948" s="485">
        <v>2806</v>
      </c>
    </row>
    <row r="949" spans="1:4" ht="12.75" customHeight="1">
      <c r="A949" s="102" t="s">
        <v>1018</v>
      </c>
      <c r="B949" s="106"/>
      <c r="C949" s="401">
        <v>1660</v>
      </c>
      <c r="D949" s="485">
        <v>9832</v>
      </c>
    </row>
    <row r="950" spans="1:4" ht="12.75" customHeight="1">
      <c r="A950" s="102" t="s">
        <v>789</v>
      </c>
      <c r="B950" s="106"/>
      <c r="C950" s="401">
        <v>15236</v>
      </c>
      <c r="D950" s="485">
        <v>6438</v>
      </c>
    </row>
    <row r="951" spans="1:4" ht="12.75" customHeight="1">
      <c r="A951" s="102" t="s">
        <v>1018</v>
      </c>
      <c r="B951" s="106"/>
      <c r="C951" s="401">
        <v>63511</v>
      </c>
      <c r="D951" s="485">
        <v>26346</v>
      </c>
    </row>
    <row r="952" spans="1:4" ht="12.75" customHeight="1">
      <c r="A952" s="102" t="s">
        <v>790</v>
      </c>
      <c r="B952" s="106"/>
      <c r="C952" s="401">
        <v>0</v>
      </c>
      <c r="D952" s="485">
        <v>0</v>
      </c>
    </row>
    <row r="953" spans="1:4" s="41" customFormat="1" ht="12.75" customHeight="1" thickBot="1">
      <c r="A953" s="26" t="s">
        <v>358</v>
      </c>
      <c r="B953" s="486"/>
      <c r="C953" s="396">
        <f>SUM(C946:C947)</f>
        <v>428758</v>
      </c>
      <c r="D953" s="397">
        <f>SUM(D946:D947)</f>
        <v>154980</v>
      </c>
    </row>
    <row r="954" spans="1:4" ht="13.5" thickTop="1">
      <c r="A954" s="33"/>
      <c r="B954" s="25"/>
      <c r="C954" s="274"/>
      <c r="D954" s="274"/>
    </row>
    <row r="955" spans="1:4" ht="24.75" customHeight="1" thickBot="1">
      <c r="A955" s="6" t="s">
        <v>363</v>
      </c>
      <c r="B955" s="33"/>
      <c r="C955" s="329"/>
      <c r="D955" s="328"/>
    </row>
    <row r="956" spans="1:4" ht="23.25" customHeight="1" thickTop="1">
      <c r="A956" s="4" t="s">
        <v>364</v>
      </c>
      <c r="B956" s="21"/>
      <c r="C956" s="451" t="s">
        <v>2</v>
      </c>
      <c r="D956" s="305" t="s">
        <v>1</v>
      </c>
    </row>
    <row r="957" spans="1:4" ht="12" customHeight="1">
      <c r="A957" s="20" t="s">
        <v>348</v>
      </c>
      <c r="B957" s="37"/>
      <c r="C957" s="480">
        <v>2611504</v>
      </c>
      <c r="D957" s="377">
        <f>2377368-4651</f>
        <v>2372717</v>
      </c>
    </row>
    <row r="958" spans="1:4" ht="12" customHeight="1">
      <c r="A958" s="20" t="s">
        <v>365</v>
      </c>
      <c r="B958" s="37"/>
      <c r="C958" s="480">
        <v>0</v>
      </c>
      <c r="D958" s="377">
        <v>0</v>
      </c>
    </row>
    <row r="959" spans="1:4" ht="12" customHeight="1">
      <c r="A959" s="20" t="s">
        <v>1040</v>
      </c>
      <c r="B959" s="37"/>
      <c r="C959" s="480">
        <v>29592</v>
      </c>
      <c r="D959" s="377">
        <f>40344-119</f>
        <v>40225</v>
      </c>
    </row>
    <row r="960" spans="1:4" ht="12" customHeight="1" thickBot="1">
      <c r="A960" s="26" t="s">
        <v>366</v>
      </c>
      <c r="B960" s="42"/>
      <c r="C960" s="481">
        <f>SUM(C957:C959)</f>
        <v>2641096</v>
      </c>
      <c r="D960" s="397">
        <f>D957+D958+D959</f>
        <v>2412942</v>
      </c>
    </row>
    <row r="961" spans="1:4" ht="17.25" customHeight="1" thickBot="1" thickTop="1">
      <c r="A961" s="33"/>
      <c r="B961" s="25"/>
      <c r="C961" s="274"/>
      <c r="D961" s="274"/>
    </row>
    <row r="962" spans="1:4" s="41" customFormat="1" ht="36.75" customHeight="1" thickTop="1">
      <c r="A962" s="4" t="s">
        <v>367</v>
      </c>
      <c r="B962" s="21"/>
      <c r="C962" s="451" t="s">
        <v>2</v>
      </c>
      <c r="D962" s="305" t="s">
        <v>1</v>
      </c>
    </row>
    <row r="963" spans="1:4" ht="12.75">
      <c r="A963" s="20" t="s">
        <v>354</v>
      </c>
      <c r="B963" s="37"/>
      <c r="C963" s="480">
        <v>0</v>
      </c>
      <c r="D963" s="377">
        <v>1567</v>
      </c>
    </row>
    <row r="964" spans="1:4" ht="12.75" customHeight="1">
      <c r="A964" s="378" t="s">
        <v>355</v>
      </c>
      <c r="B964" s="37"/>
      <c r="C964" s="480">
        <f>SUM(C965:C970)</f>
        <v>1319</v>
      </c>
      <c r="D964" s="377">
        <f>SUM(D965:D970)</f>
        <v>45121</v>
      </c>
    </row>
    <row r="965" spans="1:4" ht="12" customHeight="1">
      <c r="A965" s="20" t="s">
        <v>153</v>
      </c>
      <c r="B965" s="37"/>
      <c r="C965" s="480">
        <v>1319</v>
      </c>
      <c r="D965" s="377">
        <v>37015</v>
      </c>
    </row>
    <row r="966" spans="1:4" ht="12" customHeight="1">
      <c r="A966" s="20" t="s">
        <v>356</v>
      </c>
      <c r="B966" s="37"/>
      <c r="C966" s="480">
        <v>0</v>
      </c>
      <c r="D966" s="377">
        <v>571</v>
      </c>
    </row>
    <row r="967" spans="1:4" ht="12" customHeight="1">
      <c r="A967" s="20" t="s">
        <v>155</v>
      </c>
      <c r="B967" s="37"/>
      <c r="C967" s="480">
        <v>0</v>
      </c>
      <c r="D967" s="377">
        <v>7225</v>
      </c>
    </row>
    <row r="968" spans="1:4" ht="12" customHeight="1">
      <c r="A968" s="20" t="s">
        <v>156</v>
      </c>
      <c r="B968" s="37"/>
      <c r="C968" s="480">
        <v>0</v>
      </c>
      <c r="D968" s="377">
        <v>310</v>
      </c>
    </row>
    <row r="969" spans="1:4" ht="12" customHeight="1">
      <c r="A969" s="20" t="s">
        <v>157</v>
      </c>
      <c r="B969" s="37"/>
      <c r="C969" s="480">
        <v>0</v>
      </c>
      <c r="D969" s="377">
        <v>0</v>
      </c>
    </row>
    <row r="970" spans="1:4" ht="12" customHeight="1">
      <c r="A970" s="20" t="s">
        <v>357</v>
      </c>
      <c r="B970" s="37"/>
      <c r="C970" s="480">
        <v>0</v>
      </c>
      <c r="D970" s="377">
        <v>0</v>
      </c>
    </row>
    <row r="971" spans="1:4" ht="12" customHeight="1">
      <c r="A971" s="20" t="s">
        <v>1040</v>
      </c>
      <c r="B971" s="37"/>
      <c r="C971" s="480">
        <v>235</v>
      </c>
      <c r="D971" s="377">
        <v>4908</v>
      </c>
    </row>
    <row r="972" spans="1:4" ht="24.75" customHeight="1" thickBot="1">
      <c r="A972" s="26" t="s">
        <v>368</v>
      </c>
      <c r="B972" s="42"/>
      <c r="C972" s="481">
        <f>SUM(C963+C964+C971)</f>
        <v>1554</v>
      </c>
      <c r="D972" s="397">
        <f>D963+D964+D971</f>
        <v>51596</v>
      </c>
    </row>
    <row r="973" spans="1:4" s="41" customFormat="1" ht="22.5" customHeight="1" thickBot="1" thickTop="1">
      <c r="A973" s="33"/>
      <c r="B973" s="25"/>
      <c r="C973" s="274"/>
      <c r="D973" s="274"/>
    </row>
    <row r="974" spans="1:4" ht="38.25" customHeight="1" thickTop="1">
      <c r="A974" s="4" t="s">
        <v>369</v>
      </c>
      <c r="B974" s="21"/>
      <c r="C974" s="451" t="s">
        <v>2</v>
      </c>
      <c r="D974" s="305" t="s">
        <v>1</v>
      </c>
    </row>
    <row r="975" spans="1:4" ht="12.75" customHeight="1">
      <c r="A975" s="20" t="s">
        <v>354</v>
      </c>
      <c r="B975" s="37"/>
      <c r="C975" s="480">
        <v>0</v>
      </c>
      <c r="D975" s="377">
        <v>1567</v>
      </c>
    </row>
    <row r="976" spans="1:4" ht="12" customHeight="1">
      <c r="A976" s="20" t="s">
        <v>361</v>
      </c>
      <c r="B976" s="37"/>
      <c r="C976" s="480">
        <f>SUM(C977:C981)</f>
        <v>1319</v>
      </c>
      <c r="D976" s="377">
        <f>SUM(D977:D981)</f>
        <v>45121</v>
      </c>
    </row>
    <row r="977" spans="1:4" ht="12" customHeight="1">
      <c r="A977" s="20" t="s">
        <v>153</v>
      </c>
      <c r="B977" s="37"/>
      <c r="C977" s="480">
        <v>0</v>
      </c>
      <c r="D977" s="377">
        <v>45</v>
      </c>
    </row>
    <row r="978" spans="1:4" ht="12" customHeight="1">
      <c r="A978" s="20" t="s">
        <v>356</v>
      </c>
      <c r="B978" s="37"/>
      <c r="C978" s="480">
        <v>0</v>
      </c>
      <c r="D978" s="377">
        <v>17</v>
      </c>
    </row>
    <row r="979" spans="1:4" ht="12" customHeight="1">
      <c r="A979" s="20" t="s">
        <v>155</v>
      </c>
      <c r="B979" s="37"/>
      <c r="C979" s="480">
        <v>1319</v>
      </c>
      <c r="D979" s="377">
        <v>44749</v>
      </c>
    </row>
    <row r="980" spans="1:4" ht="12" customHeight="1">
      <c r="A980" s="20" t="s">
        <v>156</v>
      </c>
      <c r="B980" s="37"/>
      <c r="C980" s="480">
        <v>0</v>
      </c>
      <c r="D980" s="377">
        <v>310</v>
      </c>
    </row>
    <row r="981" spans="1:4" ht="12" customHeight="1">
      <c r="A981" s="20" t="s">
        <v>157</v>
      </c>
      <c r="B981" s="37"/>
      <c r="C981" s="480">
        <v>0</v>
      </c>
      <c r="D981" s="377">
        <v>0</v>
      </c>
    </row>
    <row r="982" spans="1:4" ht="12" customHeight="1">
      <c r="A982" s="20" t="s">
        <v>1040</v>
      </c>
      <c r="B982" s="37"/>
      <c r="C982" s="480">
        <v>235</v>
      </c>
      <c r="D982" s="377">
        <v>4908</v>
      </c>
    </row>
    <row r="983" spans="1:4" ht="12" customHeight="1" thickBot="1">
      <c r="A983" s="26" t="s">
        <v>368</v>
      </c>
      <c r="B983" s="42"/>
      <c r="C983" s="481">
        <f>C975+C976+C982</f>
        <v>1554</v>
      </c>
      <c r="D983" s="397">
        <f>D975+D976+D982</f>
        <v>51596</v>
      </c>
    </row>
    <row r="984" spans="1:4" ht="12" customHeight="1" thickBot="1" thickTop="1">
      <c r="A984" s="33"/>
      <c r="B984" s="25"/>
      <c r="C984" s="274"/>
      <c r="D984" s="274"/>
    </row>
    <row r="985" spans="1:4" s="41" customFormat="1" ht="36" customHeight="1" thickTop="1">
      <c r="A985" s="4" t="s">
        <v>370</v>
      </c>
      <c r="B985" s="21"/>
      <c r="C985" s="451" t="s">
        <v>2</v>
      </c>
      <c r="D985" s="305" t="s">
        <v>1</v>
      </c>
    </row>
    <row r="986" spans="1:4" ht="12.75" customHeight="1">
      <c r="A986" s="20" t="s">
        <v>354</v>
      </c>
      <c r="B986" s="37"/>
      <c r="C986" s="480">
        <v>525398</v>
      </c>
      <c r="D986" s="377">
        <f>524606-1928</f>
        <v>522678</v>
      </c>
    </row>
    <row r="987" spans="1:4" ht="12.75" customHeight="1">
      <c r="A987" s="378" t="s">
        <v>355</v>
      </c>
      <c r="B987" s="37"/>
      <c r="C987" s="480">
        <f>SUM(C988:C993)</f>
        <v>2084787</v>
      </c>
      <c r="D987" s="377">
        <f>SUM(D988:D993)</f>
        <v>1803351</v>
      </c>
    </row>
    <row r="988" spans="1:4" ht="12" customHeight="1">
      <c r="A988" s="20" t="s">
        <v>153</v>
      </c>
      <c r="B988" s="37"/>
      <c r="C988" s="480">
        <v>716229</v>
      </c>
      <c r="D988" s="377">
        <f>482882-1645</f>
        <v>481237</v>
      </c>
    </row>
    <row r="989" spans="1:4" ht="12" customHeight="1">
      <c r="A989" s="20" t="s">
        <v>356</v>
      </c>
      <c r="B989" s="37"/>
      <c r="C989" s="480">
        <v>459228</v>
      </c>
      <c r="D989" s="377">
        <f>344294-800</f>
        <v>343494</v>
      </c>
    </row>
    <row r="990" spans="1:4" ht="12" customHeight="1">
      <c r="A990" s="20" t="s">
        <v>155</v>
      </c>
      <c r="B990" s="37"/>
      <c r="C990" s="480">
        <v>415281</v>
      </c>
      <c r="D990" s="377">
        <f>397765-278</f>
        <v>397487</v>
      </c>
    </row>
    <row r="991" spans="1:4" ht="12" customHeight="1">
      <c r="A991" s="20" t="s">
        <v>156</v>
      </c>
      <c r="B991" s="37"/>
      <c r="C991" s="480">
        <v>366491</v>
      </c>
      <c r="D991" s="377">
        <v>441387</v>
      </c>
    </row>
    <row r="992" spans="1:4" ht="12" customHeight="1">
      <c r="A992" s="20" t="s">
        <v>157</v>
      </c>
      <c r="B992" s="37"/>
      <c r="C992" s="480">
        <v>127558</v>
      </c>
      <c r="D992" s="377">
        <v>139746</v>
      </c>
    </row>
    <row r="993" spans="1:4" ht="12" customHeight="1">
      <c r="A993" s="20" t="s">
        <v>357</v>
      </c>
      <c r="B993" s="37"/>
      <c r="C993" s="480">
        <v>0</v>
      </c>
      <c r="D993" s="377">
        <v>0</v>
      </c>
    </row>
    <row r="994" spans="1:4" ht="12" customHeight="1">
      <c r="A994" s="20" t="s">
        <v>1040</v>
      </c>
      <c r="B994" s="37"/>
      <c r="C994" s="480">
        <v>29357</v>
      </c>
      <c r="D994" s="377">
        <f>35436-119</f>
        <v>35317</v>
      </c>
    </row>
    <row r="995" spans="1:4" ht="12" customHeight="1" thickBot="1">
      <c r="A995" s="641" t="s">
        <v>371</v>
      </c>
      <c r="B995" s="42"/>
      <c r="C995" s="481">
        <f>C986+C987+C994</f>
        <v>2639542</v>
      </c>
      <c r="D995" s="397">
        <f>D986+D987+D994</f>
        <v>2361346</v>
      </c>
    </row>
    <row r="996" spans="1:4" s="41" customFormat="1" ht="22.5" customHeight="1" thickBot="1" thickTop="1">
      <c r="A996" s="33"/>
      <c r="B996" s="25"/>
      <c r="C996" s="274"/>
      <c r="D996" s="274"/>
    </row>
    <row r="997" spans="1:4" s="41" customFormat="1" ht="37.5" customHeight="1" thickTop="1">
      <c r="A997" s="4" t="s">
        <v>378</v>
      </c>
      <c r="B997" s="21"/>
      <c r="C997" s="451" t="s">
        <v>2</v>
      </c>
      <c r="D997" s="305" t="s">
        <v>1</v>
      </c>
    </row>
    <row r="998" spans="1:4" ht="12.75" customHeight="1">
      <c r="A998" s="20" t="s">
        <v>354</v>
      </c>
      <c r="B998" s="37"/>
      <c r="C998" s="480">
        <v>525398</v>
      </c>
      <c r="D998" s="377">
        <f>524606-1928</f>
        <v>522678</v>
      </c>
    </row>
    <row r="999" spans="1:4" s="41" customFormat="1" ht="12" customHeight="1">
      <c r="A999" s="20" t="s">
        <v>361</v>
      </c>
      <c r="B999" s="37"/>
      <c r="C999" s="480">
        <f>SUM(C1000:C1004)</f>
        <v>2084787</v>
      </c>
      <c r="D999" s="377">
        <f>SUM(D1000:D1004)</f>
        <v>1803351</v>
      </c>
    </row>
    <row r="1000" spans="1:4" s="41" customFormat="1" ht="12" customHeight="1">
      <c r="A1000" s="20" t="s">
        <v>153</v>
      </c>
      <c r="B1000" s="37"/>
      <c r="C1000" s="480">
        <v>464399</v>
      </c>
      <c r="D1000" s="377">
        <f>316637-1632</f>
        <v>315005</v>
      </c>
    </row>
    <row r="1001" spans="1:4" s="41" customFormat="1" ht="12" customHeight="1">
      <c r="A1001" s="20" t="s">
        <v>356</v>
      </c>
      <c r="B1001" s="37"/>
      <c r="C1001" s="480">
        <v>459779</v>
      </c>
      <c r="D1001" s="377">
        <f>330011-42</f>
        <v>329969</v>
      </c>
    </row>
    <row r="1002" spans="1:4" s="41" customFormat="1" ht="12" customHeight="1">
      <c r="A1002" s="20" t="s">
        <v>155</v>
      </c>
      <c r="B1002" s="37"/>
      <c r="C1002" s="480">
        <f>441670+463</f>
        <v>442133</v>
      </c>
      <c r="D1002" s="377">
        <f>404047-949</f>
        <v>403098</v>
      </c>
    </row>
    <row r="1003" spans="1:4" s="41" customFormat="1" ht="12" customHeight="1">
      <c r="A1003" s="20" t="s">
        <v>156</v>
      </c>
      <c r="B1003" s="37"/>
      <c r="C1003" s="480">
        <f>25119+225291</f>
        <v>250410</v>
      </c>
      <c r="D1003" s="377">
        <f>278327-100</f>
        <v>278227</v>
      </c>
    </row>
    <row r="1004" spans="1:4" s="41" customFormat="1" ht="12" customHeight="1">
      <c r="A1004" s="20" t="s">
        <v>157</v>
      </c>
      <c r="B1004" s="37"/>
      <c r="C1004" s="490">
        <v>468066</v>
      </c>
      <c r="D1004" s="377">
        <v>477052</v>
      </c>
    </row>
    <row r="1005" spans="1:4" s="41" customFormat="1" ht="12" customHeight="1">
      <c r="A1005" s="20" t="s">
        <v>1040</v>
      </c>
      <c r="B1005" s="37"/>
      <c r="C1005" s="490">
        <v>29357</v>
      </c>
      <c r="D1005" s="377">
        <f>35436-119</f>
        <v>35317</v>
      </c>
    </row>
    <row r="1006" spans="1:4" s="41" customFormat="1" ht="23.25" customHeight="1" thickBot="1">
      <c r="A1006" s="26" t="s">
        <v>371</v>
      </c>
      <c r="B1006" s="42"/>
      <c r="C1006" s="481">
        <f>C998+C999+C1005</f>
        <v>2639542</v>
      </c>
      <c r="D1006" s="397">
        <f>D998+D999+D1005</f>
        <v>2361346</v>
      </c>
    </row>
    <row r="1007" spans="1:4" s="41" customFormat="1" ht="7.5" customHeight="1" thickBot="1" thickTop="1">
      <c r="A1007" s="27"/>
      <c r="B1007" s="43"/>
      <c r="C1007" s="327"/>
      <c r="D1007" s="327"/>
    </row>
    <row r="1008" spans="1:4" s="41" customFormat="1" ht="24" customHeight="1" thickTop="1">
      <c r="A1008" s="4" t="s">
        <v>379</v>
      </c>
      <c r="B1008" s="21"/>
      <c r="C1008" s="451" t="s">
        <v>2</v>
      </c>
      <c r="D1008" s="305" t="s">
        <v>1</v>
      </c>
    </row>
    <row r="1009" spans="1:4" s="41" customFormat="1" ht="12" customHeight="1">
      <c r="A1009" s="101" t="s">
        <v>1016</v>
      </c>
      <c r="B1009" s="355"/>
      <c r="C1009" s="373">
        <v>2548775</v>
      </c>
      <c r="D1009" s="374">
        <f>2371293-4770</f>
        <v>2366523</v>
      </c>
    </row>
    <row r="1010" spans="1:4" s="41" customFormat="1" ht="12" customHeight="1">
      <c r="A1010" s="107" t="s">
        <v>1017</v>
      </c>
      <c r="B1010" s="402"/>
      <c r="C1010" s="373">
        <f>C1012+C1014+C1016+C1018+C1021+C1020</f>
        <v>92321</v>
      </c>
      <c r="D1010" s="483">
        <f>D1012+D1014+D1016+D1018+D1021+D1020</f>
        <v>46419</v>
      </c>
    </row>
    <row r="1011" spans="1:4" s="41" customFormat="1" ht="12" customHeight="1">
      <c r="A1011" s="102" t="s">
        <v>12</v>
      </c>
      <c r="B1011" s="402"/>
      <c r="C1011" s="399">
        <v>18063</v>
      </c>
      <c r="D1011" s="483">
        <v>10712</v>
      </c>
    </row>
    <row r="1012" spans="1:4" s="41" customFormat="1" ht="12" customHeight="1">
      <c r="A1012" s="102" t="s">
        <v>1018</v>
      </c>
      <c r="B1012" s="402"/>
      <c r="C1012" s="399">
        <v>74930</v>
      </c>
      <c r="D1012" s="483">
        <v>37537</v>
      </c>
    </row>
    <row r="1013" spans="1:4" s="41" customFormat="1" ht="12" customHeight="1">
      <c r="A1013" s="102" t="s">
        <v>50</v>
      </c>
      <c r="B1013" s="402"/>
      <c r="C1013" s="399">
        <v>207</v>
      </c>
      <c r="D1013" s="483">
        <v>168</v>
      </c>
    </row>
    <row r="1014" spans="1:4" s="41" customFormat="1" ht="12" customHeight="1">
      <c r="A1014" s="102" t="s">
        <v>1018</v>
      </c>
      <c r="B1014" s="402"/>
      <c r="C1014" s="399">
        <v>1391</v>
      </c>
      <c r="D1014" s="483">
        <v>977</v>
      </c>
    </row>
    <row r="1015" spans="1:4" ht="12" customHeight="1">
      <c r="A1015" s="102" t="s">
        <v>791</v>
      </c>
      <c r="B1015" s="105"/>
      <c r="C1015" s="400">
        <v>500</v>
      </c>
      <c r="D1015" s="484">
        <v>48</v>
      </c>
    </row>
    <row r="1016" spans="1:4" ht="12" customHeight="1">
      <c r="A1016" s="102" t="s">
        <v>1018</v>
      </c>
      <c r="B1016" s="105"/>
      <c r="C1016" s="400">
        <v>258</v>
      </c>
      <c r="D1016" s="484">
        <v>22</v>
      </c>
    </row>
    <row r="1017" spans="1:4" ht="12" customHeight="1">
      <c r="A1017" s="102" t="s">
        <v>792</v>
      </c>
      <c r="B1017" s="106"/>
      <c r="C1017" s="401">
        <v>43</v>
      </c>
      <c r="D1017" s="485">
        <v>22</v>
      </c>
    </row>
    <row r="1018" spans="1:4" ht="12" customHeight="1">
      <c r="A1018" s="102" t="s">
        <v>1018</v>
      </c>
      <c r="B1018" s="106"/>
      <c r="C1018" s="401">
        <v>112</v>
      </c>
      <c r="D1018" s="485">
        <v>57</v>
      </c>
    </row>
    <row r="1019" spans="1:4" ht="12" customHeight="1">
      <c r="A1019" s="102" t="s">
        <v>793</v>
      </c>
      <c r="B1019" s="106"/>
      <c r="C1019" s="401">
        <f>368+3379</f>
        <v>3747</v>
      </c>
      <c r="D1019" s="485">
        <v>1912</v>
      </c>
    </row>
    <row r="1020" spans="1:4" ht="12" customHeight="1">
      <c r="A1020" s="102" t="s">
        <v>1018</v>
      </c>
      <c r="B1020" s="106"/>
      <c r="C1020" s="401">
        <f>1533+14087</f>
        <v>15620</v>
      </c>
      <c r="D1020" s="485">
        <v>7826</v>
      </c>
    </row>
    <row r="1021" spans="1:4" ht="12" customHeight="1">
      <c r="A1021" s="102" t="s">
        <v>794</v>
      </c>
      <c r="B1021" s="106"/>
      <c r="C1021" s="400">
        <v>10</v>
      </c>
      <c r="D1021" s="485">
        <v>0</v>
      </c>
    </row>
    <row r="1022" spans="1:4" ht="12" customHeight="1" thickBot="1">
      <c r="A1022" s="641" t="s">
        <v>366</v>
      </c>
      <c r="B1022" s="42"/>
      <c r="C1022" s="481">
        <f>C1009+C1010</f>
        <v>2641096</v>
      </c>
      <c r="D1022" s="397">
        <f>D1009+D1010</f>
        <v>2412942</v>
      </c>
    </row>
    <row r="1023" spans="1:256" ht="12" customHeight="1" thickTop="1">
      <c r="A1023" s="645"/>
      <c r="B1023" s="645"/>
      <c r="C1023" s="645"/>
      <c r="D1023" s="645"/>
      <c r="E1023" s="645"/>
      <c r="F1023" s="645"/>
      <c r="G1023" s="645"/>
      <c r="H1023" s="645"/>
      <c r="I1023" s="645"/>
      <c r="J1023" s="645"/>
      <c r="K1023" s="645"/>
      <c r="L1023" s="645"/>
      <c r="M1023" s="645"/>
      <c r="N1023" s="645"/>
      <c r="O1023" s="645"/>
      <c r="P1023" s="645"/>
      <c r="Q1023" s="645"/>
      <c r="R1023" s="645"/>
      <c r="S1023" s="645"/>
      <c r="T1023" s="645"/>
      <c r="U1023" s="645"/>
      <c r="V1023" s="645"/>
      <c r="W1023" s="645"/>
      <c r="X1023" s="645"/>
      <c r="Y1023" s="645"/>
      <c r="Z1023" s="645"/>
      <c r="AA1023" s="645"/>
      <c r="AB1023" s="645"/>
      <c r="AC1023" s="645"/>
      <c r="AD1023" s="645"/>
      <c r="AE1023" s="645"/>
      <c r="AF1023" s="645"/>
      <c r="AG1023" s="645"/>
      <c r="AH1023" s="645"/>
      <c r="AI1023" s="645"/>
      <c r="AJ1023" s="645"/>
      <c r="AK1023" s="645"/>
      <c r="AL1023" s="645"/>
      <c r="AM1023" s="645"/>
      <c r="AN1023" s="645"/>
      <c r="AO1023" s="645"/>
      <c r="AP1023" s="645"/>
      <c r="AQ1023" s="645"/>
      <c r="AR1023" s="645"/>
      <c r="AS1023" s="645"/>
      <c r="AT1023" s="645"/>
      <c r="AU1023" s="645"/>
      <c r="AV1023" s="645"/>
      <c r="AW1023" s="645"/>
      <c r="AX1023" s="645"/>
      <c r="AY1023" s="645"/>
      <c r="AZ1023" s="645"/>
      <c r="BA1023" s="645"/>
      <c r="BB1023" s="645"/>
      <c r="BC1023" s="645"/>
      <c r="BD1023" s="645"/>
      <c r="BE1023" s="645"/>
      <c r="BF1023" s="645"/>
      <c r="BG1023" s="645"/>
      <c r="BH1023" s="645"/>
      <c r="BI1023" s="645"/>
      <c r="BJ1023" s="645"/>
      <c r="BK1023" s="645"/>
      <c r="BL1023" s="645"/>
      <c r="BM1023" s="645"/>
      <c r="BN1023" s="645"/>
      <c r="BO1023" s="645"/>
      <c r="BP1023" s="645"/>
      <c r="BQ1023" s="645"/>
      <c r="BR1023" s="645"/>
      <c r="BS1023" s="645"/>
      <c r="BT1023" s="645"/>
      <c r="BU1023" s="645"/>
      <c r="BV1023" s="645"/>
      <c r="BW1023" s="645"/>
      <c r="BX1023" s="645"/>
      <c r="BY1023" s="645"/>
      <c r="BZ1023" s="645"/>
      <c r="CA1023" s="645"/>
      <c r="CB1023" s="645"/>
      <c r="CC1023" s="645"/>
      <c r="CD1023" s="645"/>
      <c r="CE1023" s="645"/>
      <c r="CF1023" s="645"/>
      <c r="CG1023" s="645"/>
      <c r="CH1023" s="645"/>
      <c r="CI1023" s="645"/>
      <c r="CJ1023" s="645"/>
      <c r="CK1023" s="645"/>
      <c r="CL1023" s="645"/>
      <c r="CM1023" s="645"/>
      <c r="CN1023" s="645"/>
      <c r="CO1023" s="645"/>
      <c r="CP1023" s="645"/>
      <c r="CQ1023" s="645"/>
      <c r="CR1023" s="645"/>
      <c r="CS1023" s="645"/>
      <c r="CT1023" s="645"/>
      <c r="CU1023" s="645"/>
      <c r="CV1023" s="645"/>
      <c r="CW1023" s="645"/>
      <c r="CX1023" s="645"/>
      <c r="CY1023" s="645"/>
      <c r="CZ1023" s="645"/>
      <c r="DA1023" s="645"/>
      <c r="DB1023" s="645"/>
      <c r="DC1023" s="645"/>
      <c r="DD1023" s="645"/>
      <c r="DE1023" s="645"/>
      <c r="DF1023" s="645"/>
      <c r="DG1023" s="645"/>
      <c r="DH1023" s="645"/>
      <c r="DI1023" s="645"/>
      <c r="DJ1023" s="645"/>
      <c r="DK1023" s="645"/>
      <c r="DL1023" s="645"/>
      <c r="DM1023" s="645"/>
      <c r="DN1023" s="645"/>
      <c r="DO1023" s="645"/>
      <c r="DP1023" s="645"/>
      <c r="DQ1023" s="645"/>
      <c r="DR1023" s="645"/>
      <c r="DS1023" s="645"/>
      <c r="DT1023" s="645"/>
      <c r="DU1023" s="645"/>
      <c r="DV1023" s="645"/>
      <c r="DW1023" s="645"/>
      <c r="DX1023" s="645"/>
      <c r="DY1023" s="645"/>
      <c r="DZ1023" s="645"/>
      <c r="EA1023" s="645"/>
      <c r="EB1023" s="645"/>
      <c r="EC1023" s="645"/>
      <c r="ED1023" s="645"/>
      <c r="EE1023" s="645"/>
      <c r="EF1023" s="645"/>
      <c r="EG1023" s="645"/>
      <c r="EH1023" s="645"/>
      <c r="EI1023" s="645"/>
      <c r="EJ1023" s="645"/>
      <c r="EK1023" s="645"/>
      <c r="EL1023" s="645"/>
      <c r="EM1023" s="645"/>
      <c r="EN1023" s="645"/>
      <c r="EO1023" s="645"/>
      <c r="EP1023" s="645"/>
      <c r="EQ1023" s="645"/>
      <c r="ER1023" s="645"/>
      <c r="ES1023" s="645"/>
      <c r="ET1023" s="645"/>
      <c r="EU1023" s="645"/>
      <c r="EV1023" s="645"/>
      <c r="EW1023" s="645"/>
      <c r="EX1023" s="645"/>
      <c r="EY1023" s="645"/>
      <c r="EZ1023" s="645"/>
      <c r="FA1023" s="645"/>
      <c r="FB1023" s="645"/>
      <c r="FC1023" s="645"/>
      <c r="FD1023" s="645"/>
      <c r="FE1023" s="645"/>
      <c r="FF1023" s="645"/>
      <c r="FG1023" s="645"/>
      <c r="FH1023" s="645"/>
      <c r="FI1023" s="645"/>
      <c r="FJ1023" s="645"/>
      <c r="FK1023" s="645"/>
      <c r="FL1023" s="645"/>
      <c r="FM1023" s="645"/>
      <c r="FN1023" s="645"/>
      <c r="FO1023" s="645"/>
      <c r="FP1023" s="645"/>
      <c r="FQ1023" s="645"/>
      <c r="FR1023" s="645"/>
      <c r="FS1023" s="645"/>
      <c r="FT1023" s="645"/>
      <c r="FU1023" s="645"/>
      <c r="FV1023" s="645"/>
      <c r="FW1023" s="645"/>
      <c r="FX1023" s="645"/>
      <c r="FY1023" s="645"/>
      <c r="FZ1023" s="645"/>
      <c r="GA1023" s="645"/>
      <c r="GB1023" s="645"/>
      <c r="GC1023" s="645"/>
      <c r="GD1023" s="645"/>
      <c r="GE1023" s="645"/>
      <c r="GF1023" s="645"/>
      <c r="GG1023" s="645"/>
      <c r="GH1023" s="645"/>
      <c r="GI1023" s="645"/>
      <c r="GJ1023" s="645"/>
      <c r="GK1023" s="645"/>
      <c r="GL1023" s="645"/>
      <c r="GM1023" s="645"/>
      <c r="GN1023" s="645"/>
      <c r="GO1023" s="645"/>
      <c r="GP1023" s="645"/>
      <c r="GQ1023" s="645"/>
      <c r="GR1023" s="645"/>
      <c r="GS1023" s="645"/>
      <c r="GT1023" s="645"/>
      <c r="GU1023" s="645"/>
      <c r="GV1023" s="645"/>
      <c r="GW1023" s="645"/>
      <c r="GX1023" s="645"/>
      <c r="GY1023" s="645"/>
      <c r="GZ1023" s="645"/>
      <c r="HA1023" s="645"/>
      <c r="HB1023" s="645"/>
      <c r="HC1023" s="645"/>
      <c r="HD1023" s="645"/>
      <c r="HE1023" s="645"/>
      <c r="HF1023" s="645"/>
      <c r="HG1023" s="645"/>
      <c r="HH1023" s="645"/>
      <c r="HI1023" s="645"/>
      <c r="HJ1023" s="645"/>
      <c r="HK1023" s="645"/>
      <c r="HL1023" s="645"/>
      <c r="HM1023" s="645"/>
      <c r="HN1023" s="645"/>
      <c r="HO1023" s="645"/>
      <c r="HP1023" s="645"/>
      <c r="HQ1023" s="645"/>
      <c r="HR1023" s="645"/>
      <c r="HS1023" s="645"/>
      <c r="HT1023" s="645"/>
      <c r="HU1023" s="645"/>
      <c r="HV1023" s="645"/>
      <c r="HW1023" s="645"/>
      <c r="HX1023" s="645"/>
      <c r="HY1023" s="645"/>
      <c r="HZ1023" s="645"/>
      <c r="IA1023" s="645"/>
      <c r="IB1023" s="645"/>
      <c r="IC1023" s="645"/>
      <c r="ID1023" s="645"/>
      <c r="IE1023" s="645"/>
      <c r="IF1023" s="645"/>
      <c r="IG1023" s="645"/>
      <c r="IH1023" s="645"/>
      <c r="II1023" s="645"/>
      <c r="IJ1023" s="645"/>
      <c r="IK1023" s="645"/>
      <c r="IL1023" s="645"/>
      <c r="IM1023" s="645"/>
      <c r="IN1023" s="645"/>
      <c r="IO1023" s="645"/>
      <c r="IP1023" s="645"/>
      <c r="IQ1023" s="645"/>
      <c r="IR1023" s="645"/>
      <c r="IS1023" s="645"/>
      <c r="IT1023" s="645"/>
      <c r="IU1023" s="645"/>
      <c r="IV1023" s="645"/>
    </row>
    <row r="1024" spans="1:4" ht="12.75" customHeight="1" thickBot="1">
      <c r="A1024" s="6" t="s">
        <v>380</v>
      </c>
      <c r="B1024" s="33"/>
      <c r="C1024" s="329"/>
      <c r="D1024" s="328"/>
    </row>
    <row r="1025" spans="1:4" ht="24" customHeight="1" thickTop="1">
      <c r="A1025" s="4" t="s">
        <v>381</v>
      </c>
      <c r="B1025" s="21"/>
      <c r="C1025" s="451" t="s">
        <v>2</v>
      </c>
      <c r="D1025" s="305" t="s">
        <v>1</v>
      </c>
    </row>
    <row r="1026" spans="1:4" ht="12" customHeight="1">
      <c r="A1026" s="20" t="s">
        <v>382</v>
      </c>
      <c r="B1026" s="37"/>
      <c r="C1026" s="480">
        <v>72604</v>
      </c>
      <c r="D1026" s="377">
        <v>0</v>
      </c>
    </row>
    <row r="1027" spans="1:4" ht="12" customHeight="1">
      <c r="A1027" s="20" t="s">
        <v>383</v>
      </c>
      <c r="B1027" s="37"/>
      <c r="C1027" s="480">
        <v>0</v>
      </c>
      <c r="D1027" s="377">
        <v>0</v>
      </c>
    </row>
    <row r="1028" spans="1:4" ht="12" customHeight="1">
      <c r="A1028" s="20" t="s">
        <v>180</v>
      </c>
      <c r="B1028" s="37"/>
      <c r="C1028" s="480">
        <v>206</v>
      </c>
      <c r="D1028" s="377">
        <v>0</v>
      </c>
    </row>
    <row r="1029" spans="1:4" ht="24.75" customHeight="1" thickBot="1">
      <c r="A1029" s="26" t="s">
        <v>384</v>
      </c>
      <c r="B1029" s="42"/>
      <c r="C1029" s="481">
        <f>SUM(C1026:C1028)</f>
        <v>72810</v>
      </c>
      <c r="D1029" s="397">
        <f>SUM(D1026:D1028)</f>
        <v>0</v>
      </c>
    </row>
    <row r="1030" spans="1:4" ht="15.75" customHeight="1" thickBot="1" thickTop="1">
      <c r="A1030" s="6" t="s">
        <v>385</v>
      </c>
      <c r="B1030" s="33"/>
      <c r="C1030" s="329"/>
      <c r="D1030" s="328"/>
    </row>
    <row r="1031" spans="1:4" ht="24" customHeight="1" thickTop="1">
      <c r="A1031" s="4" t="s">
        <v>386</v>
      </c>
      <c r="B1031" s="21"/>
      <c r="C1031" s="451" t="s">
        <v>2</v>
      </c>
      <c r="D1031" s="305" t="s">
        <v>1</v>
      </c>
    </row>
    <row r="1032" spans="1:4" ht="12" customHeight="1">
      <c r="A1032" s="20" t="s">
        <v>387</v>
      </c>
      <c r="B1032" s="37"/>
      <c r="C1032" s="480">
        <v>0</v>
      </c>
      <c r="D1032" s="377">
        <v>0</v>
      </c>
    </row>
    <row r="1033" spans="1:4" s="41" customFormat="1" ht="12" customHeight="1">
      <c r="A1033" s="20" t="s">
        <v>388</v>
      </c>
      <c r="B1033" s="37"/>
      <c r="C1033" s="480">
        <v>0</v>
      </c>
      <c r="D1033" s="377">
        <v>0</v>
      </c>
    </row>
    <row r="1034" spans="1:4" ht="12" customHeight="1">
      <c r="A1034" s="20" t="s">
        <v>359</v>
      </c>
      <c r="B1034" s="37"/>
      <c r="C1034" s="480">
        <f>C1035</f>
        <v>97935</v>
      </c>
      <c r="D1034" s="377">
        <f>D1035</f>
        <v>51641</v>
      </c>
    </row>
    <row r="1035" spans="1:4" ht="12" customHeight="1">
      <c r="A1035" s="20" t="s">
        <v>51</v>
      </c>
      <c r="B1035" s="37"/>
      <c r="C1035" s="480">
        <v>97935</v>
      </c>
      <c r="D1035" s="377">
        <v>51641</v>
      </c>
    </row>
    <row r="1036" spans="1:4" ht="12" customHeight="1">
      <c r="A1036" s="20" t="s">
        <v>351</v>
      </c>
      <c r="B1036" s="37"/>
      <c r="C1036" s="480">
        <v>5817</v>
      </c>
      <c r="D1036" s="377">
        <v>1112</v>
      </c>
    </row>
    <row r="1037" spans="1:4" ht="12" customHeight="1" thickBot="1">
      <c r="A1037" s="26" t="s">
        <v>389</v>
      </c>
      <c r="B1037" s="42"/>
      <c r="C1037" s="481">
        <f>C1032+C1033+C1034+C1036</f>
        <v>103752</v>
      </c>
      <c r="D1037" s="397">
        <f>D1032+D1033+D1034+D1036</f>
        <v>52753</v>
      </c>
    </row>
    <row r="1038" spans="1:4" ht="5.25" customHeight="1" thickBot="1" thickTop="1">
      <c r="A1038" s="33"/>
      <c r="B1038" s="25"/>
      <c r="C1038" s="274"/>
      <c r="D1038" s="274"/>
    </row>
    <row r="1039" spans="1:4" ht="23.25" customHeight="1" thickTop="1">
      <c r="A1039" s="4" t="s">
        <v>390</v>
      </c>
      <c r="B1039" s="21"/>
      <c r="C1039" s="451" t="s">
        <v>2</v>
      </c>
      <c r="D1039" s="305" t="s">
        <v>1</v>
      </c>
    </row>
    <row r="1040" spans="1:4" ht="12" customHeight="1">
      <c r="A1040" s="20" t="s">
        <v>227</v>
      </c>
      <c r="B1040" s="37"/>
      <c r="C1040" s="480">
        <v>52753</v>
      </c>
      <c r="D1040" s="377">
        <v>0</v>
      </c>
    </row>
    <row r="1041" spans="1:4" ht="12" customHeight="1">
      <c r="A1041" s="20" t="s">
        <v>796</v>
      </c>
      <c r="B1041" s="37"/>
      <c r="C1041" s="480">
        <f>SUM(C1042:C1043)</f>
        <v>134633</v>
      </c>
      <c r="D1041" s="377">
        <f>SUM(D1042:D1043)</f>
        <v>55031</v>
      </c>
    </row>
    <row r="1042" spans="1:4" ht="12" customHeight="1">
      <c r="A1042" s="20" t="s">
        <v>52</v>
      </c>
      <c r="B1042" s="37"/>
      <c r="C1042" s="480">
        <v>120743</v>
      </c>
      <c r="D1042" s="377">
        <v>53880</v>
      </c>
    </row>
    <row r="1043" spans="1:4" s="41" customFormat="1" ht="12" customHeight="1">
      <c r="A1043" s="20" t="s">
        <v>53</v>
      </c>
      <c r="B1043" s="37"/>
      <c r="C1043" s="480">
        <v>13890</v>
      </c>
      <c r="D1043" s="377">
        <v>1151</v>
      </c>
    </row>
    <row r="1044" spans="1:4" s="41" customFormat="1" ht="12" customHeight="1">
      <c r="A1044" s="20" t="s">
        <v>798</v>
      </c>
      <c r="B1044" s="37"/>
      <c r="C1044" s="480">
        <f>SUM(C1045:C1046)</f>
        <v>83634</v>
      </c>
      <c r="D1044" s="377">
        <f>SUM(D1045:D1046)</f>
        <v>2278</v>
      </c>
    </row>
    <row r="1045" spans="1:4" s="41" customFormat="1" ht="12" customHeight="1">
      <c r="A1045" s="20" t="s">
        <v>54</v>
      </c>
      <c r="B1045" s="37"/>
      <c r="C1045" s="480">
        <v>74448</v>
      </c>
      <c r="D1045" s="377">
        <v>2239</v>
      </c>
    </row>
    <row r="1046" spans="1:4" s="41" customFormat="1" ht="12" customHeight="1">
      <c r="A1046" s="20" t="s">
        <v>53</v>
      </c>
      <c r="B1046" s="37"/>
      <c r="C1046" s="480">
        <v>9186</v>
      </c>
      <c r="D1046" s="377">
        <v>39</v>
      </c>
    </row>
    <row r="1047" spans="1:4" s="41" customFormat="1" ht="12.75" customHeight="1" thickBot="1">
      <c r="A1047" s="26" t="s">
        <v>391</v>
      </c>
      <c r="B1047" s="42"/>
      <c r="C1047" s="481">
        <f>C1040+C1041-C1044</f>
        <v>103752</v>
      </c>
      <c r="D1047" s="397">
        <f>D1040+D1041-D1044</f>
        <v>52753</v>
      </c>
    </row>
    <row r="1048" spans="1:4" s="41" customFormat="1" ht="12.75" customHeight="1" hidden="1" thickTop="1">
      <c r="A1048" s="20" t="s">
        <v>732</v>
      </c>
      <c r="B1048" s="37"/>
      <c r="C1048" s="299"/>
      <c r="D1048" s="300"/>
    </row>
    <row r="1049" spans="1:4" s="41" customFormat="1" ht="12.75" customHeight="1" hidden="1" thickBot="1">
      <c r="A1049" s="26" t="s">
        <v>391</v>
      </c>
      <c r="B1049" s="42"/>
      <c r="C1049" s="325"/>
      <c r="D1049" s="326"/>
    </row>
    <row r="1050" spans="1:4" s="41" customFormat="1" ht="12.75" customHeight="1" thickTop="1">
      <c r="A1050" s="27"/>
      <c r="B1050" s="43"/>
      <c r="C1050" s="327"/>
      <c r="D1050" s="327"/>
    </row>
    <row r="1051" spans="1:4" s="41" customFormat="1" ht="12.75" customHeight="1">
      <c r="A1051" s="27"/>
      <c r="B1051" s="43"/>
      <c r="C1051" s="327"/>
      <c r="D1051" s="327"/>
    </row>
    <row r="1052" spans="1:4" s="41" customFormat="1" ht="12.75" customHeight="1">
      <c r="A1052" s="27"/>
      <c r="B1052" s="43"/>
      <c r="C1052" s="327"/>
      <c r="D1052" s="327"/>
    </row>
    <row r="1053" spans="1:4" s="41" customFormat="1" ht="12.75" customHeight="1">
      <c r="A1053" s="27"/>
      <c r="B1053" s="43"/>
      <c r="C1053" s="327"/>
      <c r="D1053" s="327"/>
    </row>
    <row r="1054" spans="1:4" s="41" customFormat="1" ht="12.75" customHeight="1">
      <c r="A1054" s="27"/>
      <c r="B1054" s="43"/>
      <c r="C1054" s="327"/>
      <c r="D1054" s="327"/>
    </row>
    <row r="1055" spans="1:4" s="41" customFormat="1" ht="12.75" customHeight="1">
      <c r="A1055" s="27"/>
      <c r="B1055" s="43"/>
      <c r="C1055" s="327"/>
      <c r="D1055" s="327"/>
    </row>
    <row r="1056" spans="1:4" s="41" customFormat="1" ht="12.75" customHeight="1">
      <c r="A1056" s="27"/>
      <c r="B1056" s="43"/>
      <c r="C1056" s="327"/>
      <c r="D1056" s="327"/>
    </row>
    <row r="1057" spans="1:4" s="41" customFormat="1" ht="9.75" customHeight="1">
      <c r="A1057" s="27"/>
      <c r="B1057" s="43"/>
      <c r="C1057" s="327"/>
      <c r="D1057" s="327"/>
    </row>
    <row r="1058" spans="1:4" ht="12.75" hidden="1">
      <c r="A1058" s="27"/>
      <c r="B1058" s="43"/>
      <c r="C1058" s="327"/>
      <c r="D1058" s="327"/>
    </row>
    <row r="1059" spans="1:4" ht="6.75" customHeight="1">
      <c r="A1059" s="27"/>
      <c r="B1059" s="43"/>
      <c r="C1059" s="327"/>
      <c r="D1059" s="327"/>
    </row>
    <row r="1060" spans="1:4" ht="15.75" customHeight="1" thickBot="1">
      <c r="A1060" s="6" t="s">
        <v>392</v>
      </c>
      <c r="B1060" s="33"/>
      <c r="C1060" s="328"/>
      <c r="D1060" s="329"/>
    </row>
    <row r="1061" spans="1:4" ht="23.25" customHeight="1" thickTop="1">
      <c r="A1061" s="361" t="s">
        <v>393</v>
      </c>
      <c r="B1061" s="21"/>
      <c r="C1061" s="451" t="s">
        <v>2</v>
      </c>
      <c r="D1061" s="305" t="s">
        <v>1</v>
      </c>
    </row>
    <row r="1062" spans="1:4" ht="12" customHeight="1">
      <c r="A1062" s="20" t="s">
        <v>394</v>
      </c>
      <c r="B1062" s="37"/>
      <c r="C1062" s="480">
        <f>SUM(C1063:C1064)</f>
        <v>2463</v>
      </c>
      <c r="D1062" s="377">
        <f>SUM(D1063:D1064)</f>
        <v>1934</v>
      </c>
    </row>
    <row r="1063" spans="1:4" s="41" customFormat="1" ht="12" customHeight="1">
      <c r="A1063" s="20" t="s">
        <v>55</v>
      </c>
      <c r="B1063" s="37"/>
      <c r="C1063" s="480">
        <v>115</v>
      </c>
      <c r="D1063" s="377">
        <v>231</v>
      </c>
    </row>
    <row r="1064" spans="1:4" ht="12.75" customHeight="1">
      <c r="A1064" s="20" t="s">
        <v>56</v>
      </c>
      <c r="B1064" s="37"/>
      <c r="C1064" s="480">
        <v>2348</v>
      </c>
      <c r="D1064" s="377">
        <v>1703</v>
      </c>
    </row>
    <row r="1065" spans="1:4" ht="13.5" customHeight="1">
      <c r="A1065" s="20" t="s">
        <v>395</v>
      </c>
      <c r="B1065" s="37"/>
      <c r="C1065" s="480">
        <f>SUM(C1066:C1070)</f>
        <v>19241</v>
      </c>
      <c r="D1065" s="377">
        <f>SUM(D1066:D1070)</f>
        <v>65876</v>
      </c>
    </row>
    <row r="1066" spans="1:4" ht="13.5" customHeight="1">
      <c r="A1066" s="20" t="s">
        <v>57</v>
      </c>
      <c r="B1066" s="38"/>
      <c r="C1066" s="487">
        <v>5130</v>
      </c>
      <c r="D1066" s="403">
        <v>44749</v>
      </c>
    </row>
    <row r="1067" spans="1:4" ht="13.5" customHeight="1">
      <c r="A1067" s="20" t="s">
        <v>58</v>
      </c>
      <c r="B1067" s="38"/>
      <c r="C1067" s="487">
        <v>7331</v>
      </c>
      <c r="D1067" s="403">
        <v>14553</v>
      </c>
    </row>
    <row r="1068" spans="1:4" ht="12" customHeight="1">
      <c r="A1068" s="20" t="s">
        <v>45</v>
      </c>
      <c r="B1068" s="38"/>
      <c r="C1068" s="487">
        <v>4750</v>
      </c>
      <c r="D1068" s="403">
        <v>4849</v>
      </c>
    </row>
    <row r="1069" spans="1:4" ht="12" customHeight="1">
      <c r="A1069" s="20" t="s">
        <v>59</v>
      </c>
      <c r="B1069" s="38"/>
      <c r="C1069" s="487">
        <v>1888</v>
      </c>
      <c r="D1069" s="403">
        <v>975</v>
      </c>
    </row>
    <row r="1070" spans="1:4" ht="12" customHeight="1">
      <c r="A1070" s="20" t="s">
        <v>49</v>
      </c>
      <c r="B1070" s="38"/>
      <c r="C1070" s="487">
        <v>142</v>
      </c>
      <c r="D1070" s="403">
        <v>750</v>
      </c>
    </row>
    <row r="1071" spans="1:4" ht="12" customHeight="1" thickBot="1">
      <c r="A1071" s="26" t="s">
        <v>396</v>
      </c>
      <c r="B1071" s="42"/>
      <c r="C1071" s="481">
        <f>C1062+C1065</f>
        <v>21704</v>
      </c>
      <c r="D1071" s="397">
        <f>D1062+D1065</f>
        <v>67810</v>
      </c>
    </row>
    <row r="1072" spans="1:4" ht="8.25" customHeight="1" thickTop="1">
      <c r="A1072" s="33"/>
      <c r="B1072" s="25"/>
      <c r="C1072" s="274"/>
      <c r="D1072" s="274"/>
    </row>
    <row r="1073" spans="1:4" ht="17.25" customHeight="1" thickBot="1">
      <c r="A1073" s="6" t="s">
        <v>397</v>
      </c>
      <c r="B1073" s="33"/>
      <c r="C1073" s="329"/>
      <c r="D1073" s="328"/>
    </row>
    <row r="1074" spans="1:4" ht="21" customHeight="1" thickTop="1">
      <c r="A1074" s="508" t="s">
        <v>398</v>
      </c>
      <c r="B1074" s="167"/>
      <c r="C1074" s="451" t="s">
        <v>2</v>
      </c>
      <c r="D1074" s="305" t="s">
        <v>1</v>
      </c>
    </row>
    <row r="1075" spans="1:4" ht="12" customHeight="1">
      <c r="A1075" s="20" t="s">
        <v>399</v>
      </c>
      <c r="B1075" s="37"/>
      <c r="C1075" s="480">
        <f>SUM(C1076:C1080)</f>
        <v>11606</v>
      </c>
      <c r="D1075" s="377">
        <f>SUM(D1076:D1080)</f>
        <v>4240</v>
      </c>
    </row>
    <row r="1076" spans="1:4" ht="12" customHeight="1">
      <c r="A1076" s="20" t="s">
        <v>60</v>
      </c>
      <c r="B1076" s="37"/>
      <c r="C1076" s="480">
        <v>2432</v>
      </c>
      <c r="D1076" s="377">
        <v>1870</v>
      </c>
    </row>
    <row r="1077" spans="1:4" ht="12" customHeight="1">
      <c r="A1077" s="20" t="s">
        <v>61</v>
      </c>
      <c r="B1077" s="37"/>
      <c r="C1077" s="480">
        <v>2273</v>
      </c>
      <c r="D1077" s="377">
        <v>1200</v>
      </c>
    </row>
    <row r="1078" spans="1:4" ht="12" customHeight="1">
      <c r="A1078" s="20" t="s">
        <v>62</v>
      </c>
      <c r="B1078" s="37"/>
      <c r="C1078" s="480">
        <v>1451</v>
      </c>
      <c r="D1078" s="377">
        <v>774</v>
      </c>
    </row>
    <row r="1079" spans="1:4" ht="12" customHeight="1">
      <c r="A1079" s="20" t="s">
        <v>377</v>
      </c>
      <c r="B1079" s="37"/>
      <c r="C1079" s="480">
        <v>5400</v>
      </c>
      <c r="D1079" s="377">
        <v>0</v>
      </c>
    </row>
    <row r="1080" spans="1:4" ht="12" customHeight="1">
      <c r="A1080" s="20" t="s">
        <v>524</v>
      </c>
      <c r="B1080" s="37"/>
      <c r="C1080" s="480">
        <v>50</v>
      </c>
      <c r="D1080" s="377">
        <v>396</v>
      </c>
    </row>
    <row r="1081" spans="1:4" ht="12" customHeight="1">
      <c r="A1081" s="20" t="s">
        <v>400</v>
      </c>
      <c r="B1081" s="37"/>
      <c r="C1081" s="480">
        <f>SUM(C1082:C1088)</f>
        <v>12054</v>
      </c>
      <c r="D1081" s="377">
        <f>SUM(D1082:D1088)</f>
        <v>23056</v>
      </c>
    </row>
    <row r="1082" spans="1:4" ht="12" customHeight="1">
      <c r="A1082" s="20" t="s">
        <v>401</v>
      </c>
      <c r="B1082" s="37"/>
      <c r="C1082" s="480">
        <v>0</v>
      </c>
      <c r="D1082" s="377">
        <v>0</v>
      </c>
    </row>
    <row r="1083" spans="1:4" ht="12" customHeight="1">
      <c r="A1083" s="20" t="s">
        <v>63</v>
      </c>
      <c r="B1083" s="37"/>
      <c r="C1083" s="480">
        <v>10045</v>
      </c>
      <c r="D1083" s="377">
        <v>19353</v>
      </c>
    </row>
    <row r="1084" spans="1:4" ht="12" customHeight="1">
      <c r="A1084" s="20" t="s">
        <v>64</v>
      </c>
      <c r="B1084" s="37"/>
      <c r="C1084" s="480">
        <v>1153</v>
      </c>
      <c r="D1084" s="377">
        <v>1385</v>
      </c>
    </row>
    <row r="1085" spans="1:4" ht="12" customHeight="1">
      <c r="A1085" s="20" t="s">
        <v>65</v>
      </c>
      <c r="B1085" s="37"/>
      <c r="C1085" s="480">
        <v>117</v>
      </c>
      <c r="D1085" s="377">
        <v>111</v>
      </c>
    </row>
    <row r="1086" spans="1:4" ht="12" customHeight="1">
      <c r="A1086" s="20" t="s">
        <v>66</v>
      </c>
      <c r="B1086" s="37"/>
      <c r="C1086" s="480">
        <v>30</v>
      </c>
      <c r="D1086" s="377">
        <v>269</v>
      </c>
    </row>
    <row r="1087" spans="1:4" ht="12" customHeight="1">
      <c r="A1087" s="20" t="s">
        <v>67</v>
      </c>
      <c r="B1087" s="37"/>
      <c r="C1087" s="480">
        <v>666</v>
      </c>
      <c r="D1087" s="377">
        <v>1925</v>
      </c>
    </row>
    <row r="1088" spans="1:4" ht="12" customHeight="1">
      <c r="A1088" s="20" t="s">
        <v>68</v>
      </c>
      <c r="B1088" s="37"/>
      <c r="C1088" s="480">
        <v>43</v>
      </c>
      <c r="D1088" s="377">
        <v>13</v>
      </c>
    </row>
    <row r="1089" spans="1:4" ht="12" customHeight="1">
      <c r="A1089" s="20" t="s">
        <v>402</v>
      </c>
      <c r="B1089" s="37"/>
      <c r="C1089" s="480">
        <f>SUM(C1090:C1091)</f>
        <v>18633</v>
      </c>
      <c r="D1089" s="377">
        <f>SUM(D1090:D1091)</f>
        <v>20755</v>
      </c>
    </row>
    <row r="1090" spans="1:4" s="41" customFormat="1" ht="12" customHeight="1">
      <c r="A1090" s="20" t="s">
        <v>69</v>
      </c>
      <c r="B1090" s="37"/>
      <c r="C1090" s="480">
        <v>18633</v>
      </c>
      <c r="D1090" s="377">
        <v>16071</v>
      </c>
    </row>
    <row r="1091" spans="1:4" ht="12" customHeight="1">
      <c r="A1091" s="378" t="s">
        <v>70</v>
      </c>
      <c r="B1091" s="37"/>
      <c r="C1091" s="480">
        <v>0</v>
      </c>
      <c r="D1091" s="377">
        <v>4684</v>
      </c>
    </row>
    <row r="1092" spans="1:4" ht="12" customHeight="1" thickBot="1">
      <c r="A1092" s="26" t="s">
        <v>403</v>
      </c>
      <c r="B1092" s="42"/>
      <c r="C1092" s="481">
        <f>C1075+C1081+C1089</f>
        <v>42293</v>
      </c>
      <c r="D1092" s="397">
        <f>D1075+D1081+D1089</f>
        <v>48051</v>
      </c>
    </row>
    <row r="1093" spans="1:4" ht="12" customHeight="1" thickTop="1">
      <c r="A1093" s="33"/>
      <c r="B1093" s="25"/>
      <c r="C1093" s="274"/>
      <c r="D1093" s="274"/>
    </row>
    <row r="1094" spans="1:4" ht="12" customHeight="1" thickBot="1">
      <c r="A1094" s="6" t="s">
        <v>404</v>
      </c>
      <c r="B1094" s="33"/>
      <c r="C1094" s="329"/>
      <c r="D1094" s="328"/>
    </row>
    <row r="1095" spans="1:4" ht="32.25" customHeight="1" thickTop="1">
      <c r="A1095" s="361" t="s">
        <v>405</v>
      </c>
      <c r="B1095" s="21"/>
      <c r="C1095" s="427" t="s">
        <v>5</v>
      </c>
      <c r="D1095" s="290" t="s">
        <v>4</v>
      </c>
    </row>
    <row r="1096" spans="1:4" ht="12" customHeight="1">
      <c r="A1096" s="20" t="s">
        <v>406</v>
      </c>
      <c r="B1096" s="37"/>
      <c r="C1096" s="480">
        <v>8257</v>
      </c>
      <c r="D1096" s="377">
        <v>6147</v>
      </c>
    </row>
    <row r="1097" spans="1:4" ht="12" customHeight="1">
      <c r="A1097" s="20" t="s">
        <v>796</v>
      </c>
      <c r="B1097" s="37"/>
      <c r="C1097" s="480">
        <f>C1098</f>
        <v>28062</v>
      </c>
      <c r="D1097" s="377">
        <f>D1098</f>
        <v>2110</v>
      </c>
    </row>
    <row r="1098" spans="1:4" ht="12" customHeight="1">
      <c r="A1098" s="20" t="s">
        <v>71</v>
      </c>
      <c r="B1098" s="37"/>
      <c r="C1098" s="480">
        <v>28062</v>
      </c>
      <c r="D1098" s="377">
        <v>2110</v>
      </c>
    </row>
    <row r="1099" spans="1:4" s="41" customFormat="1" ht="12" customHeight="1">
      <c r="A1099" s="20" t="s">
        <v>798</v>
      </c>
      <c r="B1099" s="37"/>
      <c r="C1099" s="480">
        <f>C1100</f>
        <v>0</v>
      </c>
      <c r="D1099" s="377">
        <f>D1100</f>
        <v>0</v>
      </c>
    </row>
    <row r="1100" spans="1:4" ht="12" customHeight="1">
      <c r="A1100" s="20" t="s">
        <v>72</v>
      </c>
      <c r="B1100" s="37"/>
      <c r="C1100" s="480">
        <v>0</v>
      </c>
      <c r="D1100" s="377">
        <v>0</v>
      </c>
    </row>
    <row r="1101" spans="1:4" ht="12" customHeight="1" thickBot="1">
      <c r="A1101" s="26" t="s">
        <v>407</v>
      </c>
      <c r="B1101" s="42"/>
      <c r="C1101" s="481">
        <f>C1096+C1097-C1099</f>
        <v>36319</v>
      </c>
      <c r="D1101" s="397">
        <f>D1096+D1097-D1099</f>
        <v>8257</v>
      </c>
    </row>
    <row r="1102" spans="1:4" ht="9.75" customHeight="1" thickBot="1" thickTop="1">
      <c r="A1102" s="33"/>
      <c r="B1102" s="25"/>
      <c r="C1102" s="274"/>
      <c r="D1102" s="274"/>
    </row>
    <row r="1103" spans="1:4" ht="22.5" customHeight="1" thickTop="1">
      <c r="A1103" s="361" t="s">
        <v>408</v>
      </c>
      <c r="B1103" s="21"/>
      <c r="C1103" s="451" t="s">
        <v>2</v>
      </c>
      <c r="D1103" s="305" t="s">
        <v>1</v>
      </c>
    </row>
    <row r="1104" spans="1:4" ht="12" customHeight="1">
      <c r="A1104" s="20" t="s">
        <v>409</v>
      </c>
      <c r="B1104" s="38"/>
      <c r="C1104" s="487">
        <v>397</v>
      </c>
      <c r="D1104" s="403">
        <v>0</v>
      </c>
    </row>
    <row r="1105" spans="1:4" ht="12" customHeight="1">
      <c r="A1105" s="20" t="s">
        <v>73</v>
      </c>
      <c r="B1105" s="38"/>
      <c r="C1105" s="487">
        <v>9430</v>
      </c>
      <c r="D1105" s="403">
        <v>8430</v>
      </c>
    </row>
    <row r="1106" spans="1:4" ht="12" customHeight="1" thickBot="1">
      <c r="A1106" s="26" t="s">
        <v>410</v>
      </c>
      <c r="B1106" s="42"/>
      <c r="C1106" s="481">
        <f>SUM(C1104:C1105)</f>
        <v>9827</v>
      </c>
      <c r="D1106" s="397">
        <f>SUM(D1104:D1105)</f>
        <v>8430</v>
      </c>
    </row>
    <row r="1107" spans="1:4" ht="12" customHeight="1" thickBot="1" thickTop="1">
      <c r="A1107" s="33"/>
      <c r="B1107" s="25"/>
      <c r="C1107" s="274"/>
      <c r="D1107" s="274"/>
    </row>
    <row r="1108" spans="1:4" ht="36.75" customHeight="1" thickTop="1">
      <c r="A1108" s="361" t="s">
        <v>411</v>
      </c>
      <c r="B1108" s="21"/>
      <c r="C1108" s="427" t="s">
        <v>5</v>
      </c>
      <c r="D1108" s="290" t="s">
        <v>4</v>
      </c>
    </row>
    <row r="1109" spans="1:4" ht="12" customHeight="1">
      <c r="A1109" s="20" t="s">
        <v>412</v>
      </c>
      <c r="B1109" s="37"/>
      <c r="C1109" s="480">
        <v>8430</v>
      </c>
      <c r="D1109" s="377">
        <v>0</v>
      </c>
    </row>
    <row r="1110" spans="1:4" ht="12" customHeight="1">
      <c r="A1110" s="20" t="s">
        <v>796</v>
      </c>
      <c r="B1110" s="37"/>
      <c r="C1110" s="480">
        <f>C1111+C1112</f>
        <v>1456</v>
      </c>
      <c r="D1110" s="377">
        <f>D1111</f>
        <v>8430</v>
      </c>
    </row>
    <row r="1111" spans="1:4" ht="12" customHeight="1">
      <c r="A1111" s="20" t="s">
        <v>74</v>
      </c>
      <c r="B1111" s="37"/>
      <c r="C1111" s="480">
        <v>1000</v>
      </c>
      <c r="D1111" s="377">
        <v>8430</v>
      </c>
    </row>
    <row r="1112" spans="1:4" ht="12" customHeight="1">
      <c r="A1112" s="20" t="s">
        <v>188</v>
      </c>
      <c r="B1112" s="37"/>
      <c r="C1112" s="480">
        <v>456</v>
      </c>
      <c r="D1112" s="377">
        <v>0</v>
      </c>
    </row>
    <row r="1113" spans="1:4" ht="12" customHeight="1">
      <c r="A1113" s="20" t="s">
        <v>135</v>
      </c>
      <c r="B1113" s="37"/>
      <c r="C1113" s="480">
        <f>C1114</f>
        <v>0</v>
      </c>
      <c r="D1113" s="377">
        <v>0</v>
      </c>
    </row>
    <row r="1114" spans="1:4" ht="12" customHeight="1">
      <c r="A1114" s="20" t="s">
        <v>732</v>
      </c>
      <c r="B1114" s="37"/>
      <c r="C1114" s="480"/>
      <c r="D1114" s="377"/>
    </row>
    <row r="1115" spans="1:4" ht="12" customHeight="1">
      <c r="A1115" s="20" t="s">
        <v>136</v>
      </c>
      <c r="B1115" s="37"/>
      <c r="C1115" s="480">
        <f>C1116</f>
        <v>59</v>
      </c>
      <c r="D1115" s="377">
        <v>0</v>
      </c>
    </row>
    <row r="1116" spans="1:4" ht="12" customHeight="1">
      <c r="A1116" s="20" t="s">
        <v>189</v>
      </c>
      <c r="B1116" s="37"/>
      <c r="C1116" s="480">
        <v>59</v>
      </c>
      <c r="D1116" s="377">
        <v>0</v>
      </c>
    </row>
    <row r="1117" spans="1:4" s="41" customFormat="1" ht="12" customHeight="1" thickBot="1">
      <c r="A1117" s="26" t="s">
        <v>413</v>
      </c>
      <c r="B1117" s="42"/>
      <c r="C1117" s="481">
        <f>C1109+C1110-C1113-C1115</f>
        <v>9827</v>
      </c>
      <c r="D1117" s="397">
        <f>D1109+D1110-D1113-D1115</f>
        <v>8430</v>
      </c>
    </row>
    <row r="1118" spans="1:4" s="60" customFormat="1" ht="12.75" customHeight="1" thickTop="1">
      <c r="A1118" s="33"/>
      <c r="B1118" s="25"/>
      <c r="C1118" s="274"/>
      <c r="D1118" s="274"/>
    </row>
    <row r="1119" spans="1:4" s="60" customFormat="1" ht="12.75" customHeight="1">
      <c r="A1119" s="6" t="s">
        <v>414</v>
      </c>
      <c r="B1119" s="33"/>
      <c r="C1119" s="328"/>
      <c r="D1119" s="329"/>
    </row>
    <row r="1120" spans="1:4" s="60" customFormat="1" ht="12.75" customHeight="1">
      <c r="A1120" s="58"/>
      <c r="B1120" s="91"/>
      <c r="C1120" s="330"/>
      <c r="D1120" s="330"/>
    </row>
    <row r="1121" spans="1:4" s="60" customFormat="1" ht="12.75" customHeight="1">
      <c r="A1121" s="92"/>
      <c r="B1121" s="92"/>
      <c r="C1121" s="324"/>
      <c r="D1121" s="324"/>
    </row>
    <row r="1122" spans="1:4" s="60" customFormat="1" ht="12.75" customHeight="1">
      <c r="A1122" s="58"/>
      <c r="B1122" s="91"/>
      <c r="C1122" s="330"/>
      <c r="D1122" s="330"/>
    </row>
    <row r="1123" spans="1:4" s="60" customFormat="1" ht="12.75" customHeight="1">
      <c r="A1123" s="58"/>
      <c r="B1123" s="91"/>
      <c r="C1123" s="330"/>
      <c r="D1123" s="330"/>
    </row>
    <row r="1124" spans="1:4" s="60" customFormat="1" ht="12.75" customHeight="1">
      <c r="A1124" s="58"/>
      <c r="B1124" s="91"/>
      <c r="C1124" s="330"/>
      <c r="D1124" s="330"/>
    </row>
    <row r="1125" spans="1:4" s="60" customFormat="1" ht="12.75" customHeight="1">
      <c r="A1125" s="58"/>
      <c r="B1125" s="91"/>
      <c r="C1125" s="330"/>
      <c r="D1125" s="330"/>
    </row>
    <row r="1126" spans="1:4" s="60" customFormat="1" ht="12.75" customHeight="1">
      <c r="A1126" s="58"/>
      <c r="B1126" s="91"/>
      <c r="C1126" s="330"/>
      <c r="D1126" s="330"/>
    </row>
    <row r="1127" spans="1:4" s="60" customFormat="1" ht="12.75" customHeight="1">
      <c r="A1127" s="58"/>
      <c r="B1127" s="91"/>
      <c r="C1127" s="330"/>
      <c r="D1127" s="330"/>
    </row>
    <row r="1128" spans="1:4" ht="10.5" customHeight="1" thickBot="1">
      <c r="A1128" s="58"/>
      <c r="B1128" s="91"/>
      <c r="C1128" s="330"/>
      <c r="D1128" s="330"/>
    </row>
    <row r="1129" spans="1:4" ht="36.75" customHeight="1" thickTop="1">
      <c r="A1129" s="361" t="s">
        <v>415</v>
      </c>
      <c r="B1129" s="21"/>
      <c r="C1129" s="427" t="s">
        <v>5</v>
      </c>
      <c r="D1129" s="290" t="s">
        <v>4</v>
      </c>
    </row>
    <row r="1130" spans="1:4" ht="12" customHeight="1">
      <c r="A1130" s="20" t="s">
        <v>227</v>
      </c>
      <c r="B1130" s="37"/>
      <c r="C1130" s="480">
        <v>0</v>
      </c>
      <c r="D1130" s="377">
        <v>0</v>
      </c>
    </row>
    <row r="1131" spans="1:4" ht="12" customHeight="1">
      <c r="A1131" s="20" t="s">
        <v>796</v>
      </c>
      <c r="B1131" s="37"/>
      <c r="C1131" s="480">
        <v>0</v>
      </c>
      <c r="D1131" s="377">
        <v>0</v>
      </c>
    </row>
    <row r="1132" spans="1:4" ht="12" customHeight="1">
      <c r="A1132" s="20" t="s">
        <v>798</v>
      </c>
      <c r="B1132" s="37"/>
      <c r="C1132" s="480">
        <v>0</v>
      </c>
      <c r="D1132" s="377">
        <v>0</v>
      </c>
    </row>
    <row r="1133" spans="1:4" s="41" customFormat="1" ht="12" customHeight="1" thickBot="1">
      <c r="A1133" s="26" t="s">
        <v>416</v>
      </c>
      <c r="B1133" s="42"/>
      <c r="C1133" s="481">
        <v>0</v>
      </c>
      <c r="D1133" s="397">
        <v>0</v>
      </c>
    </row>
    <row r="1134" spans="1:4" s="60" customFormat="1" ht="13.5" thickTop="1">
      <c r="A1134" s="33"/>
      <c r="B1134" s="25"/>
      <c r="C1134" s="274"/>
      <c r="D1134" s="274"/>
    </row>
    <row r="1135" spans="1:4" s="60" customFormat="1" ht="16.5">
      <c r="A1135" s="6" t="s">
        <v>417</v>
      </c>
      <c r="B1135" s="33"/>
      <c r="C1135" s="328"/>
      <c r="D1135" s="329"/>
    </row>
    <row r="1136" spans="1:4" s="60" customFormat="1" ht="16.5">
      <c r="A1136" s="69"/>
      <c r="B1136" s="89"/>
      <c r="C1136" s="310"/>
      <c r="D1136" s="331"/>
    </row>
    <row r="1137" spans="1:4" s="60" customFormat="1" ht="16.5">
      <c r="A1137" s="69"/>
      <c r="B1137" s="89"/>
      <c r="C1137" s="310"/>
      <c r="D1137" s="331"/>
    </row>
    <row r="1138" spans="1:4" s="60" customFormat="1" ht="16.5">
      <c r="A1138" s="69"/>
      <c r="B1138" s="89"/>
      <c r="C1138" s="310"/>
      <c r="D1138" s="331"/>
    </row>
    <row r="1139" spans="1:4" s="60" customFormat="1" ht="16.5">
      <c r="A1139" s="69"/>
      <c r="B1139" s="89"/>
      <c r="C1139" s="310"/>
      <c r="D1139" s="331"/>
    </row>
    <row r="1140" spans="1:4" s="60" customFormat="1" ht="16.5">
      <c r="A1140" s="69"/>
      <c r="B1140" s="89"/>
      <c r="C1140" s="310"/>
      <c r="D1140" s="331"/>
    </row>
    <row r="1141" spans="1:4" s="60" customFormat="1" ht="16.5">
      <c r="A1141" s="69"/>
      <c r="B1141" s="89"/>
      <c r="C1141" s="310"/>
      <c r="D1141" s="331"/>
    </row>
    <row r="1142" spans="1:4" s="60" customFormat="1" ht="16.5">
      <c r="A1142" s="69"/>
      <c r="B1142" s="89"/>
      <c r="C1142" s="310"/>
      <c r="D1142" s="331"/>
    </row>
    <row r="1143" spans="1:4" s="60" customFormat="1" ht="16.5">
      <c r="A1143" s="69"/>
      <c r="B1143" s="89"/>
      <c r="C1143" s="310"/>
      <c r="D1143" s="331"/>
    </row>
    <row r="1144" spans="1:4" s="60" customFormat="1" ht="16.5">
      <c r="A1144" s="69"/>
      <c r="B1144" s="89"/>
      <c r="C1144" s="310"/>
      <c r="D1144" s="331"/>
    </row>
    <row r="1145" spans="1:4" s="60" customFormat="1" ht="16.5">
      <c r="A1145" s="69"/>
      <c r="B1145" s="89"/>
      <c r="C1145" s="310"/>
      <c r="D1145" s="331"/>
    </row>
    <row r="1146" spans="1:4" s="60" customFormat="1" ht="16.5">
      <c r="A1146" s="69"/>
      <c r="B1146" s="89"/>
      <c r="C1146" s="310"/>
      <c r="D1146" s="331"/>
    </row>
    <row r="1147" spans="1:4" ht="16.5">
      <c r="A1147" s="69"/>
      <c r="B1147" s="89"/>
      <c r="C1147" s="310"/>
      <c r="D1147" s="331"/>
    </row>
    <row r="1148" spans="1:4" ht="16.5">
      <c r="A1148" s="69"/>
      <c r="B1148" s="89"/>
      <c r="C1148" s="310"/>
      <c r="D1148" s="331"/>
    </row>
    <row r="1149" spans="1:4" ht="16.5">
      <c r="A1149" s="69"/>
      <c r="B1149" s="89"/>
      <c r="C1149" s="310"/>
      <c r="D1149" s="331"/>
    </row>
    <row r="1150" spans="1:4" ht="16.5">
      <c r="A1150" s="69"/>
      <c r="B1150" s="89"/>
      <c r="C1150" s="310"/>
      <c r="D1150" s="331"/>
    </row>
    <row r="1151" spans="1:4" ht="16.5">
      <c r="A1151" s="69"/>
      <c r="B1151" s="89"/>
      <c r="C1151" s="310"/>
      <c r="D1151" s="331"/>
    </row>
    <row r="1152" spans="1:4" ht="16.5">
      <c r="A1152" s="69"/>
      <c r="B1152" s="89"/>
      <c r="C1152" s="310"/>
      <c r="D1152" s="331"/>
    </row>
    <row r="1153" spans="1:4" ht="12.75">
      <c r="A1153" s="33"/>
      <c r="B1153" s="25"/>
      <c r="C1153" s="274"/>
      <c r="D1153" s="274"/>
    </row>
    <row r="1154" spans="1:4" ht="12.75">
      <c r="A1154" s="33"/>
      <c r="B1154" s="25"/>
      <c r="C1154" s="274"/>
      <c r="D1154" s="274"/>
    </row>
    <row r="1155" spans="1:4" ht="17.25" customHeight="1">
      <c r="A1155" s="33"/>
      <c r="B1155" s="25"/>
      <c r="C1155" s="274"/>
      <c r="D1155" s="274"/>
    </row>
    <row r="1156" spans="1:4" ht="12.75" customHeight="1">
      <c r="A1156" s="33"/>
      <c r="B1156" s="25"/>
      <c r="C1156" s="274"/>
      <c r="D1156" s="274"/>
    </row>
    <row r="1157" spans="1:4" ht="12.75" customHeight="1">
      <c r="A1157" s="33"/>
      <c r="B1157" s="25"/>
      <c r="C1157" s="274"/>
      <c r="D1157" s="274"/>
    </row>
    <row r="1158" spans="1:4" ht="12.75" customHeight="1">
      <c r="A1158" s="33"/>
      <c r="B1158" s="25"/>
      <c r="C1158" s="274"/>
      <c r="D1158" s="274"/>
    </row>
    <row r="1159" spans="1:4" ht="12.75" customHeight="1">
      <c r="A1159" s="33"/>
      <c r="B1159" s="25"/>
      <c r="C1159" s="274"/>
      <c r="D1159" s="274"/>
    </row>
    <row r="1160" spans="1:4" ht="12.75" customHeight="1">
      <c r="A1160" s="33"/>
      <c r="B1160" s="25"/>
      <c r="C1160" s="274"/>
      <c r="D1160" s="274"/>
    </row>
    <row r="1161" spans="1:4" ht="12.75" customHeight="1">
      <c r="A1161" s="33"/>
      <c r="B1161" s="25"/>
      <c r="C1161" s="274"/>
      <c r="D1161" s="274"/>
    </row>
    <row r="1162" spans="1:4" ht="12.75" customHeight="1">
      <c r="A1162" s="33"/>
      <c r="B1162" s="25"/>
      <c r="C1162" s="274"/>
      <c r="D1162" s="274"/>
    </row>
    <row r="1163" spans="1:4" ht="12.75" customHeight="1">
      <c r="A1163" s="33"/>
      <c r="B1163" s="25"/>
      <c r="C1163" s="274"/>
      <c r="D1163" s="274"/>
    </row>
    <row r="1164" spans="1:4" ht="12.75" customHeight="1">
      <c r="A1164" s="33"/>
      <c r="B1164" s="25"/>
      <c r="C1164" s="274"/>
      <c r="D1164" s="274"/>
    </row>
    <row r="1165" spans="1:4" ht="12.75" customHeight="1">
      <c r="A1165" s="33"/>
      <c r="B1165" s="25"/>
      <c r="C1165" s="274"/>
      <c r="D1165" s="274"/>
    </row>
    <row r="1166" spans="1:4" ht="12.75" customHeight="1">
      <c r="A1166" s="33"/>
      <c r="B1166" s="25"/>
      <c r="C1166" s="274"/>
      <c r="D1166" s="274"/>
    </row>
    <row r="1167" spans="1:4" ht="12.75" customHeight="1">
      <c r="A1167" s="33"/>
      <c r="B1167" s="25"/>
      <c r="C1167" s="274"/>
      <c r="D1167" s="274"/>
    </row>
    <row r="1168" spans="1:4" ht="12.75" customHeight="1">
      <c r="A1168" s="33"/>
      <c r="B1168" s="25"/>
      <c r="C1168" s="274"/>
      <c r="D1168" s="274"/>
    </row>
    <row r="1169" spans="1:4" ht="12.75" customHeight="1">
      <c r="A1169" s="33"/>
      <c r="B1169" s="25"/>
      <c r="C1169" s="274"/>
      <c r="D1169" s="274"/>
    </row>
    <row r="1170" spans="1:4" ht="12.75" customHeight="1">
      <c r="A1170" s="33"/>
      <c r="B1170" s="25"/>
      <c r="C1170" s="274"/>
      <c r="D1170" s="274"/>
    </row>
    <row r="1171" spans="1:4" ht="12.75" customHeight="1">
      <c r="A1171" s="33"/>
      <c r="B1171" s="25"/>
      <c r="C1171" s="274"/>
      <c r="D1171" s="274"/>
    </row>
    <row r="1172" spans="1:4" ht="12.75" customHeight="1">
      <c r="A1172" s="33"/>
      <c r="B1172" s="25"/>
      <c r="C1172" s="274"/>
      <c r="D1172" s="274"/>
    </row>
    <row r="1173" spans="1:4" ht="12.75" customHeight="1">
      <c r="A1173" s="33"/>
      <c r="B1173" s="25"/>
      <c r="C1173" s="274"/>
      <c r="D1173" s="274"/>
    </row>
    <row r="1174" spans="1:4" ht="12.75" customHeight="1">
      <c r="A1174" s="33"/>
      <c r="B1174" s="25"/>
      <c r="C1174" s="274"/>
      <c r="D1174" s="274"/>
    </row>
    <row r="1175" spans="1:4" ht="12.75" customHeight="1">
      <c r="A1175" s="33"/>
      <c r="B1175" s="25"/>
      <c r="C1175" s="274"/>
      <c r="D1175" s="274"/>
    </row>
    <row r="1176" spans="1:4" ht="12.75" customHeight="1">
      <c r="A1176" s="33"/>
      <c r="B1176" s="25"/>
      <c r="C1176" s="274"/>
      <c r="D1176" s="274"/>
    </row>
    <row r="1177" spans="1:4" ht="12.75" customHeight="1">
      <c r="A1177" s="33"/>
      <c r="B1177" s="25"/>
      <c r="C1177" s="274"/>
      <c r="D1177" s="274"/>
    </row>
    <row r="1178" spans="1:4" ht="12.75" customHeight="1">
      <c r="A1178" s="33"/>
      <c r="B1178" s="25"/>
      <c r="C1178" s="274"/>
      <c r="D1178" s="274"/>
    </row>
    <row r="1179" spans="1:4" ht="12.75" customHeight="1">
      <c r="A1179" s="33"/>
      <c r="B1179" s="25"/>
      <c r="C1179" s="274"/>
      <c r="D1179" s="274"/>
    </row>
    <row r="1180" spans="1:4" ht="12.75" customHeight="1">
      <c r="A1180" s="33"/>
      <c r="B1180" s="25"/>
      <c r="C1180" s="274"/>
      <c r="D1180" s="274"/>
    </row>
    <row r="1181" spans="1:4" ht="12.75" customHeight="1">
      <c r="A1181" s="33"/>
      <c r="B1181" s="25"/>
      <c r="C1181" s="274"/>
      <c r="D1181" s="274"/>
    </row>
    <row r="1182" spans="1:4" ht="12.75" customHeight="1">
      <c r="A1182" s="33"/>
      <c r="B1182" s="25"/>
      <c r="C1182" s="274"/>
      <c r="D1182" s="274"/>
    </row>
    <row r="1183" spans="1:4" ht="12.75" customHeight="1">
      <c r="A1183" s="33"/>
      <c r="B1183" s="25"/>
      <c r="C1183" s="274"/>
      <c r="D1183" s="274"/>
    </row>
    <row r="1184" spans="1:4" ht="12.75" customHeight="1">
      <c r="A1184" s="33"/>
      <c r="B1184" s="25"/>
      <c r="C1184" s="274"/>
      <c r="D1184" s="274"/>
    </row>
    <row r="1185" spans="1:4" ht="12.75" customHeight="1">
      <c r="A1185" s="33"/>
      <c r="B1185" s="25"/>
      <c r="C1185" s="274"/>
      <c r="D1185" s="274"/>
    </row>
    <row r="1186" spans="1:4" ht="12.75" customHeight="1">
      <c r="A1186" s="33"/>
      <c r="B1186" s="25"/>
      <c r="C1186" s="274"/>
      <c r="D1186" s="274"/>
    </row>
    <row r="1187" spans="1:4" ht="12.75" customHeight="1">
      <c r="A1187" s="33"/>
      <c r="B1187" s="25"/>
      <c r="C1187" s="274"/>
      <c r="D1187" s="274"/>
    </row>
    <row r="1188" spans="1:4" ht="12.75" customHeight="1">
      <c r="A1188" s="33"/>
      <c r="B1188" s="25"/>
      <c r="C1188" s="274"/>
      <c r="D1188" s="274"/>
    </row>
    <row r="1189" spans="1:4" ht="12.75" customHeight="1">
      <c r="A1189" s="33"/>
      <c r="B1189" s="25"/>
      <c r="C1189" s="274"/>
      <c r="D1189" s="274"/>
    </row>
    <row r="1190" spans="1:4" ht="12.75" customHeight="1">
      <c r="A1190" s="33"/>
      <c r="B1190" s="25"/>
      <c r="C1190" s="274"/>
      <c r="D1190" s="274"/>
    </row>
    <row r="1191" spans="1:4" ht="12.75" customHeight="1">
      <c r="A1191" s="33"/>
      <c r="B1191" s="25"/>
      <c r="C1191" s="274"/>
      <c r="D1191" s="274"/>
    </row>
    <row r="1192" spans="1:4" ht="12.75" customHeight="1">
      <c r="A1192" s="33"/>
      <c r="B1192" s="25"/>
      <c r="C1192" s="274"/>
      <c r="D1192" s="274"/>
    </row>
    <row r="1193" spans="1:4" ht="12.75" customHeight="1">
      <c r="A1193" s="33"/>
      <c r="B1193" s="25"/>
      <c r="C1193" s="274"/>
      <c r="D1193" s="274"/>
    </row>
    <row r="1194" spans="1:4" ht="12.75" customHeight="1">
      <c r="A1194" s="33"/>
      <c r="B1194" s="25"/>
      <c r="C1194" s="274"/>
      <c r="D1194" s="274"/>
    </row>
    <row r="1195" spans="1:4" ht="12.75" customHeight="1">
      <c r="A1195" s="33"/>
      <c r="B1195" s="25"/>
      <c r="C1195" s="274"/>
      <c r="D1195" s="274"/>
    </row>
    <row r="1196" spans="1:4" ht="12.75" customHeight="1">
      <c r="A1196" s="33"/>
      <c r="B1196" s="25"/>
      <c r="C1196" s="274"/>
      <c r="D1196" s="274"/>
    </row>
    <row r="1197" spans="1:4" ht="12.75" customHeight="1">
      <c r="A1197" s="33"/>
      <c r="B1197" s="25"/>
      <c r="C1197" s="274"/>
      <c r="D1197" s="274"/>
    </row>
    <row r="1198" spans="1:4" ht="12.75" customHeight="1">
      <c r="A1198" s="33"/>
      <c r="B1198" s="25"/>
      <c r="C1198" s="274"/>
      <c r="D1198" s="274"/>
    </row>
    <row r="1199" spans="1:4" ht="12.75" customHeight="1">
      <c r="A1199" s="33"/>
      <c r="B1199" s="25"/>
      <c r="C1199" s="274"/>
      <c r="D1199" s="274"/>
    </row>
    <row r="1200" spans="1:4" ht="12.75" customHeight="1">
      <c r="A1200" s="33"/>
      <c r="B1200" s="25"/>
      <c r="C1200" s="274"/>
      <c r="D1200" s="274"/>
    </row>
    <row r="1201" spans="1:4" ht="12.75" customHeight="1">
      <c r="A1201" s="33"/>
      <c r="B1201" s="25"/>
      <c r="C1201" s="274"/>
      <c r="D1201" s="274"/>
    </row>
    <row r="1202" spans="1:4" ht="12.75" customHeight="1">
      <c r="A1202" s="33"/>
      <c r="B1202" s="25"/>
      <c r="C1202" s="274"/>
      <c r="D1202" s="274"/>
    </row>
    <row r="1203" spans="1:4" ht="12.75" customHeight="1">
      <c r="A1203" s="33"/>
      <c r="B1203" s="25"/>
      <c r="C1203" s="274"/>
      <c r="D1203" s="274"/>
    </row>
    <row r="1204" spans="1:4" ht="12.75" customHeight="1">
      <c r="A1204" s="33"/>
      <c r="B1204" s="25"/>
      <c r="C1204" s="274"/>
      <c r="D1204" s="274"/>
    </row>
    <row r="1205" spans="1:4" ht="12.75" customHeight="1">
      <c r="A1205" s="33"/>
      <c r="B1205" s="25"/>
      <c r="C1205" s="274"/>
      <c r="D1205" s="274"/>
    </row>
    <row r="1206" spans="1:4" ht="12.75" customHeight="1">
      <c r="A1206" s="33"/>
      <c r="B1206" s="25"/>
      <c r="C1206" s="274"/>
      <c r="D1206" s="274"/>
    </row>
    <row r="1207" spans="1:4" ht="12.75" customHeight="1">
      <c r="A1207" s="33"/>
      <c r="B1207" s="25"/>
      <c r="C1207" s="274"/>
      <c r="D1207" s="274"/>
    </row>
    <row r="1208" spans="1:4" ht="12.75" customHeight="1">
      <c r="A1208" s="33"/>
      <c r="B1208" s="25"/>
      <c r="C1208" s="274"/>
      <c r="D1208" s="274"/>
    </row>
    <row r="1209" spans="1:4" ht="12.75" customHeight="1">
      <c r="A1209" s="33"/>
      <c r="B1209" s="25"/>
      <c r="C1209" s="274"/>
      <c r="D1209" s="274"/>
    </row>
    <row r="1210" spans="1:4" ht="12.75" customHeight="1">
      <c r="A1210" s="33"/>
      <c r="B1210" s="25"/>
      <c r="C1210" s="274"/>
      <c r="D1210" s="274"/>
    </row>
    <row r="1211" spans="1:4" ht="12.75" customHeight="1">
      <c r="A1211" s="33"/>
      <c r="B1211" s="25"/>
      <c r="C1211" s="274"/>
      <c r="D1211" s="274"/>
    </row>
    <row r="1212" spans="1:4" ht="12.75" customHeight="1">
      <c r="A1212" s="33"/>
      <c r="B1212" s="25"/>
      <c r="C1212" s="274"/>
      <c r="D1212" s="274"/>
    </row>
    <row r="1213" spans="1:4" ht="12.75" customHeight="1">
      <c r="A1213" s="33"/>
      <c r="B1213" s="25"/>
      <c r="C1213" s="274"/>
      <c r="D1213" s="274"/>
    </row>
    <row r="1214" spans="1:4" ht="12.75" customHeight="1">
      <c r="A1214" s="33"/>
      <c r="B1214" s="25"/>
      <c r="C1214" s="274"/>
      <c r="D1214" s="274"/>
    </row>
    <row r="1215" spans="1:4" ht="12.75" customHeight="1">
      <c r="A1215" s="33"/>
      <c r="B1215" s="25"/>
      <c r="C1215" s="274"/>
      <c r="D1215" s="274"/>
    </row>
    <row r="1216" spans="1:4" ht="12.75" customHeight="1">
      <c r="A1216" s="33"/>
      <c r="B1216" s="25"/>
      <c r="C1216" s="274"/>
      <c r="D1216" s="274"/>
    </row>
    <row r="1217" spans="1:4" ht="12.75" customHeight="1">
      <c r="A1217" s="33"/>
      <c r="B1217" s="25"/>
      <c r="C1217" s="274"/>
      <c r="D1217" s="274"/>
    </row>
    <row r="1218" spans="1:4" ht="12.75" customHeight="1">
      <c r="A1218" s="33"/>
      <c r="B1218" s="25"/>
      <c r="C1218" s="274"/>
      <c r="D1218" s="274"/>
    </row>
    <row r="1219" spans="1:4" ht="12.75" customHeight="1">
      <c r="A1219" s="33"/>
      <c r="B1219" s="25"/>
      <c r="C1219" s="274"/>
      <c r="D1219" s="274"/>
    </row>
    <row r="1220" spans="1:4" ht="12.75" customHeight="1">
      <c r="A1220" s="33"/>
      <c r="B1220" s="25"/>
      <c r="C1220" s="274"/>
      <c r="D1220" s="274"/>
    </row>
    <row r="1221" spans="1:4" ht="12.75" customHeight="1">
      <c r="A1221" s="33"/>
      <c r="B1221" s="25"/>
      <c r="C1221" s="274"/>
      <c r="D1221" s="274"/>
    </row>
    <row r="1222" spans="1:4" ht="12.75" customHeight="1">
      <c r="A1222" s="33"/>
      <c r="B1222" s="25"/>
      <c r="C1222" s="274"/>
      <c r="D1222" s="274"/>
    </row>
    <row r="1223" spans="1:4" ht="12.75" customHeight="1">
      <c r="A1223" s="33"/>
      <c r="B1223" s="25"/>
      <c r="C1223" s="274"/>
      <c r="D1223" s="274"/>
    </row>
    <row r="1224" spans="1:4" ht="12.75" customHeight="1">
      <c r="A1224" s="33"/>
      <c r="B1224" s="25"/>
      <c r="C1224" s="274"/>
      <c r="D1224" s="274"/>
    </row>
    <row r="1225" spans="1:4" ht="12.75" customHeight="1">
      <c r="A1225" s="33"/>
      <c r="B1225" s="25"/>
      <c r="C1225" s="274"/>
      <c r="D1225" s="274"/>
    </row>
    <row r="1226" spans="1:4" ht="12" customHeight="1">
      <c r="A1226" s="33"/>
      <c r="B1226" s="25"/>
      <c r="C1226" s="274"/>
      <c r="D1226" s="274"/>
    </row>
    <row r="1227" spans="1:4" ht="12.75" customHeight="1">
      <c r="A1227" s="33"/>
      <c r="B1227" s="25"/>
      <c r="C1227" s="274"/>
      <c r="D1227" s="274"/>
    </row>
    <row r="1228" spans="1:4" ht="12.75" customHeight="1">
      <c r="A1228" s="33"/>
      <c r="B1228" s="25"/>
      <c r="C1228" s="274"/>
      <c r="D1228" s="274"/>
    </row>
    <row r="1229" spans="1:4" ht="12.75" customHeight="1">
      <c r="A1229" s="33"/>
      <c r="B1229" s="25"/>
      <c r="C1229" s="274"/>
      <c r="D1229" s="274"/>
    </row>
    <row r="1230" spans="1:4" ht="12.75" customHeight="1">
      <c r="A1230" s="33"/>
      <c r="B1230" s="25"/>
      <c r="C1230" s="274"/>
      <c r="D1230" s="274"/>
    </row>
    <row r="1231" spans="1:4" ht="12.75" customHeight="1">
      <c r="A1231" s="33"/>
      <c r="B1231" s="25"/>
      <c r="C1231" s="274"/>
      <c r="D1231" s="274"/>
    </row>
    <row r="1232" spans="1:4" ht="12.75" customHeight="1">
      <c r="A1232" s="33"/>
      <c r="B1232" s="25"/>
      <c r="C1232" s="274"/>
      <c r="D1232" s="274"/>
    </row>
    <row r="1233" spans="1:4" ht="12.75" customHeight="1">
      <c r="A1233" s="33"/>
      <c r="B1233" s="25"/>
      <c r="C1233" s="274"/>
      <c r="D1233" s="274"/>
    </row>
    <row r="1234" spans="1:4" ht="12.75" customHeight="1">
      <c r="A1234" s="33"/>
      <c r="B1234" s="25"/>
      <c r="C1234" s="274"/>
      <c r="D1234" s="274"/>
    </row>
    <row r="1235" spans="1:4" ht="12.75" customHeight="1">
      <c r="A1235" s="33"/>
      <c r="B1235" s="25"/>
      <c r="C1235" s="274"/>
      <c r="D1235" s="274"/>
    </row>
    <row r="1236" spans="1:4" ht="12.75" customHeight="1">
      <c r="A1236" s="33"/>
      <c r="B1236" s="25"/>
      <c r="C1236" s="274"/>
      <c r="D1236" s="274"/>
    </row>
    <row r="1237" spans="1:4" ht="12.75" customHeight="1">
      <c r="A1237" s="33"/>
      <c r="B1237" s="25"/>
      <c r="C1237" s="274"/>
      <c r="D1237" s="274"/>
    </row>
    <row r="1238" spans="1:4" ht="12.75" customHeight="1">
      <c r="A1238" s="33"/>
      <c r="B1238" s="25"/>
      <c r="C1238" s="274"/>
      <c r="D1238" s="274"/>
    </row>
    <row r="1239" spans="1:4" ht="12.75" customHeight="1">
      <c r="A1239" s="33"/>
      <c r="B1239" s="25"/>
      <c r="C1239" s="274"/>
      <c r="D1239" s="274"/>
    </row>
    <row r="1240" spans="1:4" ht="12.75" customHeight="1">
      <c r="A1240" s="33"/>
      <c r="B1240" s="25"/>
      <c r="C1240" s="274"/>
      <c r="D1240" s="274"/>
    </row>
    <row r="1241" spans="1:4" ht="12.75" customHeight="1">
      <c r="A1241" s="33"/>
      <c r="B1241" s="25"/>
      <c r="C1241" s="274"/>
      <c r="D1241" s="274"/>
    </row>
    <row r="1242" spans="1:4" ht="12.75" customHeight="1">
      <c r="A1242" s="33"/>
      <c r="B1242" s="25"/>
      <c r="C1242" s="274"/>
      <c r="D1242" s="274"/>
    </row>
    <row r="1243" spans="1:4" ht="12.75" customHeight="1">
      <c r="A1243" s="33"/>
      <c r="B1243" s="25"/>
      <c r="C1243" s="274"/>
      <c r="D1243" s="274"/>
    </row>
    <row r="1244" spans="1:4" ht="12.75" customHeight="1">
      <c r="A1244" s="33"/>
      <c r="B1244" s="25"/>
      <c r="C1244" s="274"/>
      <c r="D1244" s="274"/>
    </row>
    <row r="1245" spans="1:4" ht="12.75" customHeight="1">
      <c r="A1245" s="33"/>
      <c r="B1245" s="25"/>
      <c r="C1245" s="274"/>
      <c r="D1245" s="274"/>
    </row>
    <row r="1246" spans="1:4" ht="12.75" customHeight="1">
      <c r="A1246" s="33"/>
      <c r="B1246" s="25"/>
      <c r="C1246" s="274"/>
      <c r="D1246" s="274"/>
    </row>
    <row r="1247" spans="1:4" ht="12.75" customHeight="1">
      <c r="A1247" s="33"/>
      <c r="B1247" s="25"/>
      <c r="C1247" s="274"/>
      <c r="D1247" s="274"/>
    </row>
    <row r="1248" spans="1:4" ht="12.75" customHeight="1">
      <c r="A1248" s="33"/>
      <c r="B1248" s="25"/>
      <c r="C1248" s="274"/>
      <c r="D1248" s="274"/>
    </row>
    <row r="1249" spans="1:4" ht="12.75" customHeight="1">
      <c r="A1249" s="33"/>
      <c r="B1249" s="25"/>
      <c r="C1249" s="274"/>
      <c r="D1249" s="274"/>
    </row>
    <row r="1250" spans="1:4" ht="12.75" customHeight="1">
      <c r="A1250" s="33"/>
      <c r="B1250" s="25"/>
      <c r="C1250" s="274"/>
      <c r="D1250" s="274"/>
    </row>
    <row r="1251" spans="1:4" ht="12.75" customHeight="1">
      <c r="A1251" s="33"/>
      <c r="B1251" s="25"/>
      <c r="C1251" s="274"/>
      <c r="D1251" s="274"/>
    </row>
    <row r="1252" spans="1:4" ht="12.75" customHeight="1">
      <c r="A1252" s="33"/>
      <c r="B1252" s="25"/>
      <c r="C1252" s="274"/>
      <c r="D1252" s="274"/>
    </row>
    <row r="1253" spans="1:4" ht="12.75" customHeight="1">
      <c r="A1253" s="33"/>
      <c r="B1253" s="25"/>
      <c r="C1253" s="274"/>
      <c r="D1253" s="274"/>
    </row>
    <row r="1254" spans="1:4" ht="12.75" customHeight="1">
      <c r="A1254" s="33"/>
      <c r="B1254" s="25"/>
      <c r="C1254" s="274"/>
      <c r="D1254" s="274"/>
    </row>
    <row r="1255" spans="1:4" ht="12.75" customHeight="1">
      <c r="A1255" s="33"/>
      <c r="B1255" s="25"/>
      <c r="C1255" s="274"/>
      <c r="D1255" s="274"/>
    </row>
    <row r="1256" spans="1:4" ht="12.75" customHeight="1">
      <c r="A1256" s="33"/>
      <c r="B1256" s="25"/>
      <c r="C1256" s="274"/>
      <c r="D1256" s="274"/>
    </row>
    <row r="1257" spans="1:4" ht="12.75" customHeight="1">
      <c r="A1257" s="33"/>
      <c r="B1257" s="25"/>
      <c r="C1257" s="274"/>
      <c r="D1257" s="274"/>
    </row>
    <row r="1258" spans="1:4" ht="12.75" customHeight="1">
      <c r="A1258" s="33"/>
      <c r="B1258" s="25"/>
      <c r="C1258" s="274"/>
      <c r="D1258" s="274"/>
    </row>
    <row r="1259" spans="1:4" ht="12.75" customHeight="1">
      <c r="A1259" s="33"/>
      <c r="B1259" s="25"/>
      <c r="C1259" s="274"/>
      <c r="D1259" s="274"/>
    </row>
    <row r="1260" spans="1:4" ht="12.75" customHeight="1">
      <c r="A1260" s="33"/>
      <c r="B1260" s="25"/>
      <c r="C1260" s="274"/>
      <c r="D1260" s="274"/>
    </row>
    <row r="1261" spans="1:4" ht="12.75" customHeight="1">
      <c r="A1261" s="33"/>
      <c r="B1261" s="25"/>
      <c r="C1261" s="274"/>
      <c r="D1261" s="274"/>
    </row>
    <row r="1262" spans="1:4" ht="12.75" customHeight="1">
      <c r="A1262" s="33"/>
      <c r="B1262" s="25"/>
      <c r="C1262" s="274"/>
      <c r="D1262" s="274"/>
    </row>
    <row r="1263" spans="1:4" ht="12.75" customHeight="1">
      <c r="A1263" s="33"/>
      <c r="B1263" s="25"/>
      <c r="C1263" s="274"/>
      <c r="D1263" s="274"/>
    </row>
    <row r="1264" spans="1:4" ht="12.75" customHeight="1">
      <c r="A1264" s="33"/>
      <c r="B1264" s="25"/>
      <c r="C1264" s="274"/>
      <c r="D1264" s="274"/>
    </row>
    <row r="1265" spans="1:4" ht="12.75" customHeight="1">
      <c r="A1265" s="33"/>
      <c r="B1265" s="25"/>
      <c r="C1265" s="274"/>
      <c r="D1265" s="274"/>
    </row>
    <row r="1266" spans="1:4" ht="12.75" customHeight="1">
      <c r="A1266" s="33"/>
      <c r="B1266" s="25"/>
      <c r="C1266" s="274"/>
      <c r="D1266" s="274"/>
    </row>
    <row r="1267" spans="1:4" ht="12.75" customHeight="1">
      <c r="A1267" s="33"/>
      <c r="B1267" s="25"/>
      <c r="C1267" s="274"/>
      <c r="D1267" s="274"/>
    </row>
    <row r="1268" spans="1:4" ht="12.75" customHeight="1">
      <c r="A1268" s="33"/>
      <c r="B1268" s="25"/>
      <c r="C1268" s="274"/>
      <c r="D1268" s="274"/>
    </row>
    <row r="1269" spans="1:4" ht="12.75" customHeight="1">
      <c r="A1269" s="33"/>
      <c r="B1269" s="25"/>
      <c r="C1269" s="274"/>
      <c r="D1269" s="274"/>
    </row>
    <row r="1270" spans="1:4" ht="12.75" customHeight="1">
      <c r="A1270" s="33"/>
      <c r="B1270" s="25"/>
      <c r="C1270" s="274"/>
      <c r="D1270" s="274"/>
    </row>
    <row r="1271" spans="1:4" ht="12.75" customHeight="1">
      <c r="A1271" s="33"/>
      <c r="B1271" s="25"/>
      <c r="C1271" s="274"/>
      <c r="D1271" s="274"/>
    </row>
    <row r="1272" spans="1:4" ht="12.75" customHeight="1">
      <c r="A1272" s="33"/>
      <c r="B1272" s="25"/>
      <c r="C1272" s="274"/>
      <c r="D1272" s="274"/>
    </row>
    <row r="1273" spans="1:4" ht="12.75" customHeight="1">
      <c r="A1273" s="33"/>
      <c r="B1273" s="25"/>
      <c r="C1273" s="274"/>
      <c r="D1273" s="274"/>
    </row>
    <row r="1274" spans="1:4" ht="12.75" customHeight="1">
      <c r="A1274" s="33"/>
      <c r="B1274" s="25"/>
      <c r="C1274" s="274"/>
      <c r="D1274" s="274"/>
    </row>
    <row r="1275" spans="1:4" ht="12.75" customHeight="1">
      <c r="A1275" s="33"/>
      <c r="B1275" s="25"/>
      <c r="C1275" s="274"/>
      <c r="D1275" s="274"/>
    </row>
    <row r="1276" spans="1:4" ht="12.75" customHeight="1">
      <c r="A1276" s="33"/>
      <c r="B1276" s="25"/>
      <c r="C1276" s="274"/>
      <c r="D1276" s="274"/>
    </row>
    <row r="1277" spans="1:4" ht="12.75" customHeight="1">
      <c r="A1277" s="33"/>
      <c r="B1277" s="25"/>
      <c r="C1277" s="274"/>
      <c r="D1277" s="274"/>
    </row>
    <row r="1278" spans="1:4" ht="12.75" customHeight="1">
      <c r="A1278" s="33"/>
      <c r="B1278" s="25"/>
      <c r="C1278" s="274"/>
      <c r="D1278" s="274"/>
    </row>
    <row r="1279" spans="1:4" ht="12.75" customHeight="1">
      <c r="A1279" s="33"/>
      <c r="B1279" s="25"/>
      <c r="C1279" s="274"/>
      <c r="D1279" s="274"/>
    </row>
    <row r="1280" spans="1:4" ht="12.75" customHeight="1">
      <c r="A1280" s="33"/>
      <c r="B1280" s="25"/>
      <c r="C1280" s="274"/>
      <c r="D1280" s="274"/>
    </row>
    <row r="1281" spans="1:4" ht="12.75" customHeight="1">
      <c r="A1281" s="33"/>
      <c r="B1281" s="25"/>
      <c r="C1281" s="274"/>
      <c r="D1281" s="274"/>
    </row>
    <row r="1282" spans="1:4" ht="12.75" customHeight="1">
      <c r="A1282" s="33"/>
      <c r="B1282" s="25"/>
      <c r="C1282" s="274"/>
      <c r="D1282" s="274"/>
    </row>
    <row r="1283" spans="1:4" ht="12.75" customHeight="1">
      <c r="A1283" s="33"/>
      <c r="B1283" s="25"/>
      <c r="C1283" s="274"/>
      <c r="D1283" s="274"/>
    </row>
    <row r="1284" spans="1:4" ht="12.75" customHeight="1">
      <c r="A1284" s="33"/>
      <c r="B1284" s="25"/>
      <c r="C1284" s="274"/>
      <c r="D1284" s="274"/>
    </row>
    <row r="1285" spans="1:4" ht="12.75" customHeight="1">
      <c r="A1285" s="33"/>
      <c r="B1285" s="25"/>
      <c r="C1285" s="274"/>
      <c r="D1285" s="274"/>
    </row>
    <row r="1286" spans="1:4" ht="12.75" customHeight="1">
      <c r="A1286" s="33"/>
      <c r="B1286" s="25"/>
      <c r="C1286" s="274"/>
      <c r="D1286" s="274"/>
    </row>
    <row r="1287" spans="1:4" ht="12.75" customHeight="1">
      <c r="A1287" s="33"/>
      <c r="B1287" s="25"/>
      <c r="C1287" s="274"/>
      <c r="D1287" s="274"/>
    </row>
    <row r="1288" spans="1:4" ht="12.75" customHeight="1">
      <c r="A1288" s="33"/>
      <c r="B1288" s="25"/>
      <c r="C1288" s="274"/>
      <c r="D1288" s="274"/>
    </row>
    <row r="1289" spans="1:4" ht="12.75" customHeight="1">
      <c r="A1289" s="33"/>
      <c r="B1289" s="25"/>
      <c r="C1289" s="274"/>
      <c r="D1289" s="274"/>
    </row>
    <row r="1290" spans="1:4" ht="12.75" customHeight="1">
      <c r="A1290" s="33"/>
      <c r="B1290" s="25"/>
      <c r="C1290" s="274"/>
      <c r="D1290" s="274"/>
    </row>
    <row r="1291" spans="1:4" ht="12.75" customHeight="1">
      <c r="A1291" s="33"/>
      <c r="B1291" s="25"/>
      <c r="C1291" s="274"/>
      <c r="D1291" s="274"/>
    </row>
    <row r="1292" spans="1:4" ht="12.75" customHeight="1">
      <c r="A1292" s="33"/>
      <c r="B1292" s="25"/>
      <c r="C1292" s="274"/>
      <c r="D1292" s="274"/>
    </row>
    <row r="1293" spans="1:4" ht="12.75" customHeight="1">
      <c r="A1293" s="33"/>
      <c r="B1293" s="25"/>
      <c r="C1293" s="274"/>
      <c r="D1293" s="274"/>
    </row>
    <row r="1294" spans="1:4" ht="12.75" customHeight="1">
      <c r="A1294" s="33"/>
      <c r="B1294" s="25"/>
      <c r="C1294" s="274"/>
      <c r="D1294" s="274"/>
    </row>
    <row r="1295" spans="1:4" ht="12.75" customHeight="1">
      <c r="A1295" s="33"/>
      <c r="B1295" s="25"/>
      <c r="C1295" s="274"/>
      <c r="D1295" s="274"/>
    </row>
    <row r="1296" spans="1:4" ht="12.75" customHeight="1">
      <c r="A1296" s="33"/>
      <c r="B1296" s="25"/>
      <c r="C1296" s="274"/>
      <c r="D1296" s="274"/>
    </row>
    <row r="1297" spans="1:4" ht="12.75" customHeight="1">
      <c r="A1297" s="33"/>
      <c r="B1297" s="25"/>
      <c r="C1297" s="274"/>
      <c r="D1297" s="274"/>
    </row>
    <row r="1298" spans="1:4" ht="12.75" customHeight="1">
      <c r="A1298" s="33"/>
      <c r="B1298" s="25"/>
      <c r="C1298" s="274"/>
      <c r="D1298" s="274"/>
    </row>
    <row r="1299" spans="1:4" ht="12.75" customHeight="1">
      <c r="A1299" s="33"/>
      <c r="B1299" s="25"/>
      <c r="C1299" s="274"/>
      <c r="D1299" s="274"/>
    </row>
    <row r="1300" spans="1:4" ht="12.75" customHeight="1">
      <c r="A1300" s="33"/>
      <c r="B1300" s="25"/>
      <c r="C1300" s="274"/>
      <c r="D1300" s="274"/>
    </row>
    <row r="1301" spans="1:4" ht="12.75" customHeight="1">
      <c r="A1301" s="33"/>
      <c r="B1301" s="25"/>
      <c r="C1301" s="274"/>
      <c r="D1301" s="274"/>
    </row>
    <row r="1302" spans="1:4" ht="12.75" customHeight="1">
      <c r="A1302" s="33"/>
      <c r="B1302" s="25"/>
      <c r="C1302" s="274"/>
      <c r="D1302" s="274"/>
    </row>
    <row r="1303" spans="1:4" ht="12.75" customHeight="1">
      <c r="A1303" s="33"/>
      <c r="B1303" s="25"/>
      <c r="C1303" s="274"/>
      <c r="D1303" s="274"/>
    </row>
    <row r="1304" spans="1:4" ht="12.75" customHeight="1">
      <c r="A1304" s="33"/>
      <c r="B1304" s="25"/>
      <c r="C1304" s="274"/>
      <c r="D1304" s="274"/>
    </row>
    <row r="1305" spans="1:4" ht="12.75" customHeight="1">
      <c r="A1305" s="33"/>
      <c r="B1305" s="25"/>
      <c r="C1305" s="274"/>
      <c r="D1305" s="274"/>
    </row>
    <row r="1306" spans="1:4" ht="12.75" customHeight="1">
      <c r="A1306" s="33"/>
      <c r="B1306" s="25"/>
      <c r="C1306" s="274"/>
      <c r="D1306" s="274"/>
    </row>
    <row r="1307" spans="1:4" ht="12.75" customHeight="1">
      <c r="A1307" s="33"/>
      <c r="B1307" s="25"/>
      <c r="C1307" s="274"/>
      <c r="D1307" s="274"/>
    </row>
    <row r="1308" spans="1:4" ht="12.75" customHeight="1">
      <c r="A1308" s="33"/>
      <c r="B1308" s="25"/>
      <c r="C1308" s="274"/>
      <c r="D1308" s="274"/>
    </row>
    <row r="1309" spans="1:4" ht="12.75" customHeight="1">
      <c r="A1309" s="33"/>
      <c r="B1309" s="25"/>
      <c r="C1309" s="274"/>
      <c r="D1309" s="274"/>
    </row>
    <row r="1310" spans="1:4" ht="12.75" customHeight="1">
      <c r="A1310" s="33"/>
      <c r="B1310" s="25"/>
      <c r="C1310" s="274"/>
      <c r="D1310" s="274"/>
    </row>
    <row r="1311" spans="1:4" ht="12.75" customHeight="1" thickBot="1">
      <c r="A1311" s="6" t="s">
        <v>418</v>
      </c>
      <c r="B1311" s="33"/>
      <c r="C1311" s="328"/>
      <c r="D1311" s="329"/>
    </row>
    <row r="1312" spans="1:4" s="41" customFormat="1" ht="21.75" customHeight="1" thickTop="1">
      <c r="A1312" s="361" t="s">
        <v>419</v>
      </c>
      <c r="B1312" s="21"/>
      <c r="C1312" s="451" t="s">
        <v>2</v>
      </c>
      <c r="D1312" s="305" t="s">
        <v>1</v>
      </c>
    </row>
    <row r="1313" spans="1:4" s="41" customFormat="1" ht="12.75" customHeight="1">
      <c r="A1313" s="20" t="s">
        <v>420</v>
      </c>
      <c r="B1313" s="37"/>
      <c r="C1313" s="480">
        <v>144809</v>
      </c>
      <c r="D1313" s="377">
        <v>144809</v>
      </c>
    </row>
    <row r="1314" spans="1:4" ht="12.75" customHeight="1">
      <c r="A1314" s="20" t="s">
        <v>421</v>
      </c>
      <c r="B1314" s="37"/>
      <c r="C1314" s="480">
        <v>26708</v>
      </c>
      <c r="D1314" s="377">
        <v>26708</v>
      </c>
    </row>
    <row r="1315" spans="1:4" ht="24" customHeight="1">
      <c r="A1315" s="20" t="s">
        <v>422</v>
      </c>
      <c r="B1315" s="37"/>
      <c r="C1315" s="480">
        <v>159984</v>
      </c>
      <c r="D1315" s="377">
        <v>93178</v>
      </c>
    </row>
    <row r="1316" spans="1:4" ht="12.75" customHeight="1">
      <c r="A1316" s="20" t="s">
        <v>423</v>
      </c>
      <c r="B1316" s="37"/>
      <c r="C1316" s="480">
        <v>0</v>
      </c>
      <c r="D1316" s="377">
        <v>0</v>
      </c>
    </row>
    <row r="1317" spans="1:4" ht="12.75" customHeight="1">
      <c r="A1317" s="20" t="s">
        <v>424</v>
      </c>
      <c r="B1317" s="37"/>
      <c r="C1317" s="480">
        <v>158</v>
      </c>
      <c r="D1317" s="377">
        <v>92</v>
      </c>
    </row>
    <row r="1318" spans="1:4" ht="12.75" customHeight="1" thickBot="1">
      <c r="A1318" s="26" t="s">
        <v>425</v>
      </c>
      <c r="B1318" s="42"/>
      <c r="C1318" s="481">
        <f>SUM(C1313:C1317)</f>
        <v>331659</v>
      </c>
      <c r="D1318" s="397">
        <f>SUM(D1313:D1317)</f>
        <v>264787</v>
      </c>
    </row>
    <row r="1319" spans="1:4" ht="12.75" customHeight="1" thickTop="1">
      <c r="A1319" s="27"/>
      <c r="B1319" s="43"/>
      <c r="C1319" s="327"/>
      <c r="D1319" s="327"/>
    </row>
    <row r="1320" spans="1:4" ht="12.75" customHeight="1" thickBot="1">
      <c r="A1320" s="6" t="s">
        <v>426</v>
      </c>
      <c r="B1320" s="33"/>
      <c r="C1320" s="329"/>
      <c r="D1320" s="328"/>
    </row>
    <row r="1321" spans="1:4" s="41" customFormat="1" ht="23.25" customHeight="1" thickTop="1">
      <c r="A1321" s="4" t="s">
        <v>427</v>
      </c>
      <c r="B1321" s="21"/>
      <c r="C1321" s="451" t="s">
        <v>2</v>
      </c>
      <c r="D1321" s="305" t="s">
        <v>1</v>
      </c>
    </row>
    <row r="1322" spans="1:4" s="41" customFormat="1" ht="12.75" customHeight="1">
      <c r="A1322" s="20" t="s">
        <v>428</v>
      </c>
      <c r="B1322" s="37"/>
      <c r="C1322" s="480">
        <v>20000</v>
      </c>
      <c r="D1322" s="377">
        <v>10000</v>
      </c>
    </row>
    <row r="1323" spans="1:4" ht="12.75" customHeight="1">
      <c r="A1323" s="20" t="s">
        <v>429</v>
      </c>
      <c r="B1323" s="37"/>
      <c r="C1323" s="480">
        <v>0</v>
      </c>
      <c r="D1323" s="377">
        <v>0</v>
      </c>
    </row>
    <row r="1324" spans="1:4" ht="12.75" customHeight="1">
      <c r="A1324" s="20" t="s">
        <v>109</v>
      </c>
      <c r="B1324" s="37"/>
      <c r="C1324" s="480">
        <v>4108</v>
      </c>
      <c r="D1324" s="377">
        <v>4234</v>
      </c>
    </row>
    <row r="1325" spans="1:4" ht="12.75" customHeight="1" thickBot="1">
      <c r="A1325" s="26" t="s">
        <v>430</v>
      </c>
      <c r="B1325" s="42"/>
      <c r="C1325" s="481">
        <f>SUM(C1322:C1324)</f>
        <v>24108</v>
      </c>
      <c r="D1325" s="397">
        <f>SUM(D1322:D1324)</f>
        <v>14234</v>
      </c>
    </row>
    <row r="1326" spans="1:4" s="41" customFormat="1" ht="12.75" customHeight="1" thickTop="1">
      <c r="A1326" s="27"/>
      <c r="B1326" s="43"/>
      <c r="C1326" s="327"/>
      <c r="D1326" s="327"/>
    </row>
    <row r="1327" spans="1:4" ht="17.25" customHeight="1" thickBot="1">
      <c r="A1327" s="6" t="s">
        <v>431</v>
      </c>
      <c r="B1327" s="33"/>
      <c r="C1327" s="329"/>
      <c r="D1327" s="328"/>
    </row>
    <row r="1328" spans="1:4" s="41" customFormat="1" ht="21.75" customHeight="1" thickTop="1">
      <c r="A1328" s="4" t="s">
        <v>432</v>
      </c>
      <c r="B1328" s="21"/>
      <c r="C1328" s="451" t="s">
        <v>2</v>
      </c>
      <c r="D1328" s="305" t="s">
        <v>1</v>
      </c>
    </row>
    <row r="1329" spans="1:4" ht="12.75" customHeight="1">
      <c r="A1329" s="20" t="s">
        <v>433</v>
      </c>
      <c r="B1329" s="37"/>
      <c r="C1329" s="480">
        <v>0</v>
      </c>
      <c r="D1329" s="377">
        <v>0</v>
      </c>
    </row>
    <row r="1330" spans="1:4" s="41" customFormat="1" ht="12.75" customHeight="1">
      <c r="A1330" s="20" t="s">
        <v>434</v>
      </c>
      <c r="B1330" s="37"/>
      <c r="C1330" s="480">
        <v>0</v>
      </c>
      <c r="D1330" s="377">
        <v>0</v>
      </c>
    </row>
    <row r="1331" spans="1:4" s="41" customFormat="1" ht="12.75" customHeight="1" thickBot="1">
      <c r="A1331" s="26" t="s">
        <v>435</v>
      </c>
      <c r="B1331" s="42"/>
      <c r="C1331" s="481">
        <v>0</v>
      </c>
      <c r="D1331" s="397">
        <v>0</v>
      </c>
    </row>
    <row r="1332" spans="1:4" s="41" customFormat="1" ht="12.75" customHeight="1" thickTop="1">
      <c r="A1332" s="27"/>
      <c r="B1332" s="43"/>
      <c r="C1332" s="327"/>
      <c r="D1332" s="327"/>
    </row>
    <row r="1333" spans="1:4" s="41" customFormat="1" ht="12.75" customHeight="1">
      <c r="A1333" s="6" t="s">
        <v>436</v>
      </c>
      <c r="B1333" s="33"/>
      <c r="C1333" s="328"/>
      <c r="D1333" s="329"/>
    </row>
    <row r="1334" spans="1:4" s="41" customFormat="1" ht="12.75" customHeight="1">
      <c r="A1334" s="516" t="s">
        <v>837</v>
      </c>
      <c r="B1334" s="514"/>
      <c r="C1334" s="517" t="s">
        <v>838</v>
      </c>
      <c r="D1334" s="518" t="s">
        <v>839</v>
      </c>
    </row>
    <row r="1335" spans="1:4" s="41" customFormat="1" ht="12.75" customHeight="1">
      <c r="A1335" s="513"/>
      <c r="B1335" s="514"/>
      <c r="C1335" s="510"/>
      <c r="D1335" s="515"/>
    </row>
    <row r="1336" spans="1:4" s="41" customFormat="1" ht="12.75" customHeight="1">
      <c r="A1336" s="509" t="s">
        <v>840</v>
      </c>
      <c r="B1336" s="514"/>
      <c r="C1336" s="510">
        <v>1970150</v>
      </c>
      <c r="D1336" s="510">
        <v>1784266</v>
      </c>
    </row>
    <row r="1337" spans="1:4" s="41" customFormat="1" ht="12.75" customHeight="1">
      <c r="A1337" s="513"/>
      <c r="B1337" s="514"/>
      <c r="C1337" s="510"/>
      <c r="D1337" s="510"/>
    </row>
    <row r="1338" spans="1:4" s="41" customFormat="1" ht="12.75" customHeight="1">
      <c r="A1338" s="519" t="s">
        <v>841</v>
      </c>
      <c r="B1338" s="520"/>
      <c r="C1338" s="521">
        <v>132000</v>
      </c>
      <c r="D1338" s="521">
        <v>132000</v>
      </c>
    </row>
    <row r="1339" spans="1:4" s="41" customFormat="1" ht="12.75" customHeight="1">
      <c r="A1339" s="519" t="s">
        <v>842</v>
      </c>
      <c r="B1339" s="523"/>
      <c r="C1339" s="521">
        <v>331659</v>
      </c>
      <c r="D1339" s="521">
        <v>264787</v>
      </c>
    </row>
    <row r="1340" spans="1:4" s="41" customFormat="1" ht="12.75" customHeight="1">
      <c r="A1340" s="519" t="s">
        <v>843</v>
      </c>
      <c r="B1340" s="523"/>
      <c r="C1340" s="524">
        <v>24108</v>
      </c>
      <c r="D1340" s="524">
        <v>14234</v>
      </c>
    </row>
    <row r="1341" spans="1:4" s="41" customFormat="1" ht="12.75" customHeight="1">
      <c r="A1341" s="525" t="s">
        <v>844</v>
      </c>
      <c r="B1341" s="520"/>
      <c r="C1341" s="526">
        <f>SUM(C1338:C1340)</f>
        <v>487767</v>
      </c>
      <c r="D1341" s="527">
        <f>SUM(D1338:D1340)</f>
        <v>411021</v>
      </c>
    </row>
    <row r="1342" spans="1:4" s="41" customFormat="1" ht="12.75" customHeight="1">
      <c r="A1342" s="528" t="s">
        <v>845</v>
      </c>
      <c r="B1342" s="523"/>
      <c r="C1342" s="529">
        <v>5000</v>
      </c>
      <c r="D1342" s="522">
        <v>8477</v>
      </c>
    </row>
    <row r="1343" spans="1:4" s="41" customFormat="1" ht="12.75" customHeight="1">
      <c r="A1343" s="530" t="s">
        <v>846</v>
      </c>
      <c r="B1343" s="531"/>
      <c r="C1343" s="532"/>
      <c r="D1343" s="532"/>
    </row>
    <row r="1344" spans="1:4" s="41" customFormat="1" ht="12.75" customHeight="1">
      <c r="A1344" s="530"/>
      <c r="B1344" s="531"/>
      <c r="C1344" s="532"/>
      <c r="D1344" s="532"/>
    </row>
    <row r="1345" spans="1:4" s="41" customFormat="1" ht="12.75" customHeight="1">
      <c r="A1345" s="533" t="s">
        <v>847</v>
      </c>
      <c r="B1345" s="531"/>
      <c r="C1345" s="532"/>
      <c r="D1345" s="532"/>
    </row>
    <row r="1346" spans="1:4" s="41" customFormat="1" ht="12.75" customHeight="1">
      <c r="A1346" s="533" t="s">
        <v>846</v>
      </c>
      <c r="B1346" s="531"/>
      <c r="C1346" s="534">
        <f>C1341-C1342</f>
        <v>482767</v>
      </c>
      <c r="D1346" s="534">
        <f>D1341-D1342</f>
        <v>402544</v>
      </c>
    </row>
    <row r="1347" spans="1:4" s="41" customFormat="1" ht="12.75" customHeight="1">
      <c r="A1347" s="530"/>
      <c r="B1347" s="531"/>
      <c r="C1347" s="532"/>
      <c r="D1347" s="532"/>
    </row>
    <row r="1348" spans="1:4" s="41" customFormat="1" ht="12.75" customHeight="1">
      <c r="A1348" s="533" t="s">
        <v>848</v>
      </c>
      <c r="B1348" s="531"/>
      <c r="C1348" s="532"/>
      <c r="D1348" s="532"/>
    </row>
    <row r="1349" spans="1:4" s="41" customFormat="1" ht="12.75" customHeight="1">
      <c r="A1349" s="533" t="s">
        <v>849</v>
      </c>
      <c r="B1349" s="531"/>
      <c r="C1349" s="546" t="s">
        <v>863</v>
      </c>
      <c r="D1349" s="545" t="s">
        <v>862</v>
      </c>
    </row>
    <row r="1350" spans="1:4" s="41" customFormat="1" ht="12.75" customHeight="1">
      <c r="A1350" s="533"/>
      <c r="B1350" s="531"/>
      <c r="C1350" s="535"/>
      <c r="D1350" s="535"/>
    </row>
    <row r="1351" spans="1:4" s="41" customFormat="1" ht="12.75" customHeight="1">
      <c r="A1351" s="536" t="s">
        <v>850</v>
      </c>
      <c r="B1351" s="531"/>
      <c r="C1351" s="535"/>
      <c r="D1351" s="535"/>
    </row>
    <row r="1352" spans="1:4" s="41" customFormat="1" ht="12.75" customHeight="1">
      <c r="A1352" s="537" t="s">
        <v>851</v>
      </c>
      <c r="B1352" s="531"/>
      <c r="C1352" s="535"/>
      <c r="D1352" s="535"/>
    </row>
    <row r="1353" spans="1:4" s="41" customFormat="1" ht="12.75" customHeight="1">
      <c r="A1353" s="530" t="s">
        <v>852</v>
      </c>
      <c r="B1353" s="531"/>
      <c r="C1353" s="535"/>
      <c r="D1353" s="535"/>
    </row>
    <row r="1354" spans="1:4" s="41" customFormat="1" ht="12.75" customHeight="1">
      <c r="A1354" s="533"/>
      <c r="B1354" s="531"/>
      <c r="C1354" s="538" t="s">
        <v>838</v>
      </c>
      <c r="D1354" s="539" t="s">
        <v>861</v>
      </c>
    </row>
    <row r="1355" spans="1:4" s="41" customFormat="1" ht="12.75" customHeight="1">
      <c r="A1355" s="519" t="s">
        <v>841</v>
      </c>
      <c r="B1355" s="520"/>
      <c r="C1355" s="521">
        <v>132000</v>
      </c>
      <c r="D1355" s="522">
        <v>132000</v>
      </c>
    </row>
    <row r="1356" spans="1:4" s="41" customFormat="1" ht="12.75" customHeight="1">
      <c r="A1356" s="519" t="s">
        <v>842</v>
      </c>
      <c r="B1356" s="523"/>
      <c r="C1356" s="521">
        <v>331659</v>
      </c>
      <c r="D1356" s="522">
        <v>264787</v>
      </c>
    </row>
    <row r="1357" spans="1:4" s="41" customFormat="1" ht="12.75" customHeight="1">
      <c r="A1357" s="519" t="s">
        <v>843</v>
      </c>
      <c r="B1357" s="523"/>
      <c r="C1357" s="521">
        <v>24108</v>
      </c>
      <c r="D1357" s="522">
        <v>14234</v>
      </c>
    </row>
    <row r="1358" spans="1:4" s="41" customFormat="1" ht="12.75" customHeight="1">
      <c r="A1358" s="530" t="s">
        <v>853</v>
      </c>
      <c r="B1358" s="531"/>
      <c r="C1358" s="540">
        <v>96526</v>
      </c>
      <c r="D1358" s="540">
        <v>101573</v>
      </c>
    </row>
    <row r="1359" spans="1:4" s="41" customFormat="1" ht="12.75" customHeight="1">
      <c r="A1359" s="533" t="s">
        <v>854</v>
      </c>
      <c r="B1359" s="531"/>
      <c r="C1359" s="534">
        <f>SUM(C1355:C1358)</f>
        <v>584293</v>
      </c>
      <c r="D1359" s="534">
        <f>SUM(D1355:D1358)</f>
        <v>512594</v>
      </c>
    </row>
    <row r="1360" spans="1:4" s="41" customFormat="1" ht="12.75" customHeight="1">
      <c r="A1360" s="541" t="s">
        <v>719</v>
      </c>
      <c r="B1360" s="531"/>
      <c r="C1360" s="534">
        <v>13200000</v>
      </c>
      <c r="D1360" s="534">
        <v>13200000</v>
      </c>
    </row>
    <row r="1361" spans="1:4" s="41" customFormat="1" ht="12.75" customHeight="1">
      <c r="A1361" s="542" t="s">
        <v>855</v>
      </c>
      <c r="B1361" s="531"/>
      <c r="C1361" s="535">
        <f>C1359/C1360*1000</f>
        <v>44.26462121212121</v>
      </c>
      <c r="D1361" s="535">
        <f>D1359/D1360*1000</f>
        <v>38.83287878787879</v>
      </c>
    </row>
    <row r="1362" spans="1:4" s="41" customFormat="1" ht="12.75" customHeight="1">
      <c r="A1362" s="530"/>
      <c r="B1362" s="531"/>
      <c r="C1362" s="532"/>
      <c r="D1362" s="532"/>
    </row>
    <row r="1363" spans="1:4" s="41" customFormat="1" ht="12.75" customHeight="1">
      <c r="A1363" s="543" t="s">
        <v>856</v>
      </c>
      <c r="B1363" s="531"/>
      <c r="C1363" s="532"/>
      <c r="D1363" s="532"/>
    </row>
    <row r="1364" spans="1:4" ht="17.25" customHeight="1">
      <c r="A1364" s="530"/>
      <c r="B1364" s="531"/>
      <c r="C1364" s="532"/>
      <c r="D1364" s="532"/>
    </row>
    <row r="1365" spans="1:4" ht="12" customHeight="1">
      <c r="A1365" s="614" t="s">
        <v>724</v>
      </c>
      <c r="B1365" s="616"/>
      <c r="C1365" s="612"/>
      <c r="D1365" s="612"/>
    </row>
    <row r="1366" spans="1:4" ht="12" customHeight="1">
      <c r="A1366" s="614"/>
      <c r="B1366" s="616"/>
      <c r="C1366" s="612"/>
      <c r="D1366" s="612"/>
    </row>
    <row r="1367" spans="1:4" ht="12" customHeight="1">
      <c r="A1367" s="614" t="s">
        <v>857</v>
      </c>
      <c r="B1367" s="616"/>
      <c r="C1367" s="612">
        <v>584293</v>
      </c>
      <c r="D1367" s="612">
        <v>512594</v>
      </c>
    </row>
    <row r="1368" spans="1:4" ht="12" customHeight="1">
      <c r="A1368" s="614" t="s">
        <v>858</v>
      </c>
      <c r="B1368" s="616"/>
      <c r="C1368" s="612"/>
      <c r="D1368" s="612"/>
    </row>
    <row r="1369" spans="1:4" ht="12" customHeight="1">
      <c r="A1369" s="614" t="s">
        <v>859</v>
      </c>
      <c r="B1369" s="616"/>
      <c r="C1369" s="612">
        <v>15950000</v>
      </c>
      <c r="D1369" s="612">
        <v>13200000</v>
      </c>
    </row>
    <row r="1370" spans="1:4" ht="17.25" customHeight="1">
      <c r="A1370" s="614"/>
      <c r="B1370" s="616"/>
      <c r="C1370" s="612"/>
      <c r="D1370" s="612"/>
    </row>
    <row r="1371" spans="1:4" s="41" customFormat="1" ht="23.25" customHeight="1">
      <c r="A1371" s="615" t="s">
        <v>860</v>
      </c>
      <c r="B1371" s="616"/>
      <c r="C1371" s="613">
        <f>C1367/C1369*1000</f>
        <v>36.63278996865204</v>
      </c>
      <c r="D1371" s="613">
        <f>D1367/D1369*1000</f>
        <v>38.83287878787879</v>
      </c>
    </row>
    <row r="1372" spans="1:4" s="41" customFormat="1" ht="23.25" customHeight="1">
      <c r="A1372" s="533"/>
      <c r="B1372" s="531"/>
      <c r="C1372" s="535"/>
      <c r="D1372" s="535"/>
    </row>
    <row r="1373" spans="1:4" s="41" customFormat="1" ht="22.5" customHeight="1" thickBot="1">
      <c r="A1373" s="6" t="s">
        <v>437</v>
      </c>
      <c r="B1373" s="33"/>
      <c r="C1373" s="328"/>
      <c r="D1373" s="329"/>
    </row>
    <row r="1374" spans="1:4" s="41" customFormat="1" ht="23.25" customHeight="1" thickTop="1">
      <c r="A1374" s="361" t="s">
        <v>449</v>
      </c>
      <c r="B1374" s="21"/>
      <c r="C1374" s="451" t="s">
        <v>2</v>
      </c>
      <c r="D1374" s="305" t="s">
        <v>1</v>
      </c>
    </row>
    <row r="1375" spans="1:4" ht="12.75" customHeight="1">
      <c r="A1375" s="20" t="s">
        <v>450</v>
      </c>
      <c r="B1375" s="37"/>
      <c r="C1375" s="544">
        <f>SUM(C1376:C1379)</f>
        <v>136987</v>
      </c>
      <c r="D1375" s="377">
        <f>SUM(D1376:D1379)</f>
        <v>53730</v>
      </c>
    </row>
    <row r="1376" spans="1:4" s="41" customFormat="1" ht="12.75" customHeight="1">
      <c r="A1376" s="20" t="s">
        <v>451</v>
      </c>
      <c r="B1376" s="37"/>
      <c r="C1376" s="490">
        <v>0</v>
      </c>
      <c r="D1376" s="377">
        <v>0</v>
      </c>
    </row>
    <row r="1377" spans="1:4" ht="12.75" customHeight="1">
      <c r="A1377" s="20" t="s">
        <v>452</v>
      </c>
      <c r="B1377" s="37"/>
      <c r="C1377" s="490">
        <v>0</v>
      </c>
      <c r="D1377" s="377">
        <v>0</v>
      </c>
    </row>
    <row r="1378" spans="1:4" ht="12" customHeight="1">
      <c r="A1378" s="20" t="s">
        <v>453</v>
      </c>
      <c r="B1378" s="37"/>
      <c r="C1378" s="490">
        <v>0</v>
      </c>
      <c r="D1378" s="377">
        <v>0</v>
      </c>
    </row>
    <row r="1379" spans="1:4" ht="12" customHeight="1">
      <c r="A1379" s="20" t="s">
        <v>454</v>
      </c>
      <c r="B1379" s="37"/>
      <c r="C1379" s="490">
        <v>136987</v>
      </c>
      <c r="D1379" s="377">
        <v>53730</v>
      </c>
    </row>
    <row r="1380" spans="1:4" ht="12" customHeight="1" thickBot="1">
      <c r="A1380" s="26" t="s">
        <v>455</v>
      </c>
      <c r="B1380" s="42"/>
      <c r="C1380" s="501">
        <f>C1375</f>
        <v>136987</v>
      </c>
      <c r="D1380" s="397">
        <f>D1375</f>
        <v>53730</v>
      </c>
    </row>
    <row r="1381" spans="1:5" ht="12" customHeight="1" thickTop="1">
      <c r="A1381" s="27"/>
      <c r="B1381" s="40"/>
      <c r="C1381" s="40"/>
      <c r="D1381" s="327"/>
      <c r="E1381" s="327"/>
    </row>
    <row r="1382" spans="1:5" ht="27.75" customHeight="1">
      <c r="A1382" s="46" t="s">
        <v>456</v>
      </c>
      <c r="B1382" s="47"/>
      <c r="C1382" s="47"/>
      <c r="D1382" s="332"/>
      <c r="E1382" s="332"/>
    </row>
    <row r="1383" spans="1:5" ht="14.25" customHeight="1" thickBot="1">
      <c r="A1383" s="6" t="s">
        <v>457</v>
      </c>
      <c r="B1383" s="33"/>
      <c r="C1383" s="33"/>
      <c r="D1383" s="328"/>
      <c r="E1383" s="329"/>
    </row>
    <row r="1384" spans="1:4" ht="33" customHeight="1" thickTop="1">
      <c r="A1384" s="361" t="s">
        <v>458</v>
      </c>
      <c r="B1384" s="21"/>
      <c r="C1384" s="427" t="s">
        <v>5</v>
      </c>
      <c r="D1384" s="290" t="s">
        <v>4</v>
      </c>
    </row>
    <row r="1385" spans="1:4" s="41" customFormat="1" ht="12" customHeight="1">
      <c r="A1385" s="20" t="s">
        <v>459</v>
      </c>
      <c r="B1385" s="37"/>
      <c r="C1385" s="480">
        <v>37771</v>
      </c>
      <c r="D1385" s="377">
        <v>40035</v>
      </c>
    </row>
    <row r="1386" spans="1:4" ht="13.5" customHeight="1">
      <c r="A1386" s="20" t="s">
        <v>460</v>
      </c>
      <c r="B1386" s="37"/>
      <c r="C1386" s="480">
        <v>290011</v>
      </c>
      <c r="D1386" s="377">
        <v>264275</v>
      </c>
    </row>
    <row r="1387" spans="1:4" ht="14.25" customHeight="1">
      <c r="A1387" s="20" t="s">
        <v>461</v>
      </c>
      <c r="B1387" s="37"/>
      <c r="C1387" s="480">
        <f>SUM(C1388:C1389)</f>
        <v>94968</v>
      </c>
      <c r="D1387" s="377">
        <f>SUM(D1388:D1389)</f>
        <v>131467</v>
      </c>
    </row>
    <row r="1388" spans="1:4" ht="12" customHeight="1">
      <c r="A1388" s="20" t="s">
        <v>462</v>
      </c>
      <c r="B1388" s="37"/>
      <c r="C1388" s="480">
        <v>94968</v>
      </c>
      <c r="D1388" s="377">
        <v>131467</v>
      </c>
    </row>
    <row r="1389" spans="1:4" ht="12" customHeight="1">
      <c r="A1389" s="20" t="s">
        <v>463</v>
      </c>
      <c r="B1389" s="37"/>
      <c r="C1389" s="480">
        <v>0</v>
      </c>
      <c r="D1389" s="377">
        <v>0</v>
      </c>
    </row>
    <row r="1390" spans="1:4" ht="12" customHeight="1">
      <c r="A1390" s="20" t="s">
        <v>464</v>
      </c>
      <c r="B1390" s="37"/>
      <c r="C1390" s="480">
        <v>676</v>
      </c>
      <c r="D1390" s="377">
        <v>1181</v>
      </c>
    </row>
    <row r="1391" spans="1:4" ht="12" customHeight="1" thickBot="1">
      <c r="A1391" s="26" t="s">
        <v>467</v>
      </c>
      <c r="B1391" s="42"/>
      <c r="C1391" s="481">
        <f>C1385+C1386+C1387+C1390</f>
        <v>423426</v>
      </c>
      <c r="D1391" s="397">
        <f>D1385+D1386+D1387+D1390</f>
        <v>436958</v>
      </c>
    </row>
    <row r="1392" spans="1:4" s="41" customFormat="1" ht="12" customHeight="1" thickTop="1">
      <c r="A1392" s="27"/>
      <c r="B1392" s="40"/>
      <c r="C1392" s="327"/>
      <c r="D1392" s="327"/>
    </row>
    <row r="1393" spans="1:4" ht="15.75" customHeight="1" thickBot="1">
      <c r="A1393" s="6" t="s">
        <v>468</v>
      </c>
      <c r="B1393" s="33"/>
      <c r="C1393" s="329"/>
      <c r="D1393" s="328"/>
    </row>
    <row r="1394" spans="1:4" ht="36.75" customHeight="1" thickTop="1">
      <c r="A1394" s="361" t="s">
        <v>469</v>
      </c>
      <c r="B1394" s="21"/>
      <c r="C1394" s="427" t="s">
        <v>5</v>
      </c>
      <c r="D1394" s="290" t="s">
        <v>4</v>
      </c>
    </row>
    <row r="1395" spans="1:4" ht="12" customHeight="1">
      <c r="A1395" s="20" t="s">
        <v>470</v>
      </c>
      <c r="B1395" s="37"/>
      <c r="C1395" s="480">
        <v>36490</v>
      </c>
      <c r="D1395" s="377">
        <v>23373</v>
      </c>
    </row>
    <row r="1396" spans="1:4" ht="12" customHeight="1">
      <c r="A1396" s="20" t="s">
        <v>471</v>
      </c>
      <c r="B1396" s="37"/>
      <c r="C1396" s="480">
        <v>177009</v>
      </c>
      <c r="D1396" s="377">
        <v>219129</v>
      </c>
    </row>
    <row r="1397" spans="1:4" ht="12" customHeight="1">
      <c r="A1397" s="20" t="s">
        <v>472</v>
      </c>
      <c r="B1397" s="37"/>
      <c r="C1397" s="480">
        <v>12030</v>
      </c>
      <c r="D1397" s="377">
        <v>1150</v>
      </c>
    </row>
    <row r="1398" spans="1:4" s="41" customFormat="1" ht="12" customHeight="1" thickBot="1">
      <c r="A1398" s="26" t="s">
        <v>473</v>
      </c>
      <c r="B1398" s="42"/>
      <c r="C1398" s="481">
        <f>SUM(C1395:C1397)</f>
        <v>225529</v>
      </c>
      <c r="D1398" s="397">
        <f>SUM(D1395:D1397)</f>
        <v>243652</v>
      </c>
    </row>
    <row r="1399" spans="1:4" ht="7.5" customHeight="1" thickTop="1">
      <c r="A1399" s="27"/>
      <c r="B1399" s="40"/>
      <c r="C1399" s="327"/>
      <c r="D1399" s="327"/>
    </row>
    <row r="1400" spans="1:4" ht="14.25" customHeight="1" thickBot="1">
      <c r="A1400" s="6" t="s">
        <v>474</v>
      </c>
      <c r="B1400" s="33"/>
      <c r="C1400" s="329"/>
      <c r="D1400" s="328"/>
    </row>
    <row r="1401" spans="1:4" ht="34.5" customHeight="1" thickTop="1">
      <c r="A1401" s="361" t="s">
        <v>475</v>
      </c>
      <c r="B1401" s="21"/>
      <c r="C1401" s="427" t="s">
        <v>5</v>
      </c>
      <c r="D1401" s="290" t="s">
        <v>4</v>
      </c>
    </row>
    <row r="1402" spans="1:4" ht="12" customHeight="1">
      <c r="A1402" s="20" t="s">
        <v>476</v>
      </c>
      <c r="B1402" s="37"/>
      <c r="C1402" s="480">
        <v>80287</v>
      </c>
      <c r="D1402" s="377">
        <v>70673</v>
      </c>
    </row>
    <row r="1403" spans="1:4" ht="12" customHeight="1">
      <c r="A1403" s="20" t="s">
        <v>477</v>
      </c>
      <c r="B1403" s="37"/>
      <c r="C1403" s="480">
        <v>0</v>
      </c>
      <c r="D1403" s="377">
        <v>0</v>
      </c>
    </row>
    <row r="1404" spans="1:4" ht="12" customHeight="1" thickBot="1">
      <c r="A1404" s="26" t="s">
        <v>478</v>
      </c>
      <c r="B1404" s="42"/>
      <c r="C1404" s="481">
        <f>SUM(C1402:C1403)</f>
        <v>80287</v>
      </c>
      <c r="D1404" s="397">
        <f>SUM(D1402:D1403)</f>
        <v>70673</v>
      </c>
    </row>
    <row r="1405" spans="1:4" s="41" customFormat="1" ht="22.5" customHeight="1" thickTop="1">
      <c r="A1405" s="27"/>
      <c r="B1405" s="40"/>
      <c r="C1405" s="327"/>
      <c r="D1405" s="327"/>
    </row>
    <row r="1406" spans="1:4" ht="16.5" customHeight="1" thickBot="1">
      <c r="A1406" s="6" t="s">
        <v>479</v>
      </c>
      <c r="B1406" s="33"/>
      <c r="C1406" s="329"/>
      <c r="D1406" s="328"/>
    </row>
    <row r="1407" spans="1:4" ht="33.75" customHeight="1" thickTop="1">
      <c r="A1407" s="4" t="s">
        <v>480</v>
      </c>
      <c r="B1407" s="21"/>
      <c r="C1407" s="427" t="s">
        <v>5</v>
      </c>
      <c r="D1407" s="290" t="s">
        <v>4</v>
      </c>
    </row>
    <row r="1408" spans="1:4" ht="12" customHeight="1">
      <c r="A1408" s="20" t="s">
        <v>481</v>
      </c>
      <c r="B1408" s="38"/>
      <c r="C1408" s="487">
        <v>0</v>
      </c>
      <c r="D1408" s="403">
        <v>0</v>
      </c>
    </row>
    <row r="1409" spans="1:4" ht="12" customHeight="1">
      <c r="A1409" s="20" t="s">
        <v>482</v>
      </c>
      <c r="B1409" s="38"/>
      <c r="C1409" s="487">
        <v>0</v>
      </c>
      <c r="D1409" s="403">
        <v>0</v>
      </c>
    </row>
    <row r="1410" spans="1:4" ht="12" customHeight="1">
      <c r="A1410" s="20" t="s">
        <v>483</v>
      </c>
      <c r="B1410" s="38"/>
      <c r="C1410" s="487">
        <v>336</v>
      </c>
      <c r="D1410" s="403">
        <v>7</v>
      </c>
    </row>
    <row r="1411" spans="1:4" ht="24.75" customHeight="1" thickBot="1">
      <c r="A1411" s="26" t="s">
        <v>484</v>
      </c>
      <c r="B1411" s="42"/>
      <c r="C1411" s="481">
        <f>SUM(C1408:C1410)</f>
        <v>336</v>
      </c>
      <c r="D1411" s="397">
        <f>SUM(D1408:D1410)</f>
        <v>7</v>
      </c>
    </row>
    <row r="1412" spans="1:4" ht="12" customHeight="1" thickTop="1">
      <c r="A1412" s="27"/>
      <c r="B1412" s="40"/>
      <c r="C1412" s="327"/>
      <c r="D1412" s="327"/>
    </row>
    <row r="1413" spans="1:4" s="41" customFormat="1" ht="12" customHeight="1" thickBot="1">
      <c r="A1413" s="6" t="s">
        <v>485</v>
      </c>
      <c r="B1413" s="33"/>
      <c r="C1413" s="329"/>
      <c r="D1413" s="328"/>
    </row>
    <row r="1414" spans="1:4" ht="35.25" customHeight="1" thickTop="1">
      <c r="A1414" s="361" t="s">
        <v>486</v>
      </c>
      <c r="B1414" s="21"/>
      <c r="C1414" s="427" t="s">
        <v>5</v>
      </c>
      <c r="D1414" s="290" t="s">
        <v>4</v>
      </c>
    </row>
    <row r="1415" spans="1:4" ht="14.25" customHeight="1">
      <c r="A1415" s="20" t="s">
        <v>487</v>
      </c>
      <c r="B1415" s="37"/>
      <c r="C1415" s="480">
        <f>C1416-C1417</f>
        <v>-2349</v>
      </c>
      <c r="D1415" s="377">
        <f>D1416-D1417</f>
        <v>764</v>
      </c>
    </row>
    <row r="1416" spans="1:4" ht="12" customHeight="1">
      <c r="A1416" s="20" t="s">
        <v>488</v>
      </c>
      <c r="B1416" s="37"/>
      <c r="C1416" s="480">
        <v>6411</v>
      </c>
      <c r="D1416" s="377">
        <v>5685</v>
      </c>
    </row>
    <row r="1417" spans="1:4" ht="12" customHeight="1">
      <c r="A1417" s="20" t="s">
        <v>489</v>
      </c>
      <c r="B1417" s="37"/>
      <c r="C1417" s="480">
        <v>8760</v>
      </c>
      <c r="D1417" s="377">
        <v>4921</v>
      </c>
    </row>
    <row r="1418" spans="1:4" ht="12" customHeight="1">
      <c r="A1418" s="20" t="s">
        <v>490</v>
      </c>
      <c r="B1418" s="37"/>
      <c r="C1418" s="480">
        <v>-191</v>
      </c>
      <c r="D1418" s="377">
        <v>132</v>
      </c>
    </row>
    <row r="1419" spans="1:4" ht="12" customHeight="1" thickBot="1">
      <c r="A1419" s="26" t="s">
        <v>491</v>
      </c>
      <c r="B1419" s="42"/>
      <c r="C1419" s="481">
        <f>C1415+C1418</f>
        <v>-2540</v>
      </c>
      <c r="D1419" s="397">
        <f>D1415+D1418</f>
        <v>896</v>
      </c>
    </row>
    <row r="1420" spans="1:4" ht="12" customHeight="1" thickTop="1">
      <c r="A1420" s="27"/>
      <c r="B1420" s="40"/>
      <c r="C1420" s="327"/>
      <c r="D1420" s="327"/>
    </row>
    <row r="1421" spans="1:4" ht="12" customHeight="1" thickBot="1">
      <c r="A1421" s="6" t="s">
        <v>492</v>
      </c>
      <c r="B1421" s="33"/>
      <c r="C1421" s="329"/>
      <c r="D1421" s="328"/>
    </row>
    <row r="1422" spans="1:4" ht="35.25" customHeight="1" thickTop="1">
      <c r="A1422" s="361" t="s">
        <v>493</v>
      </c>
      <c r="B1422" s="21"/>
      <c r="C1422" s="427" t="s">
        <v>5</v>
      </c>
      <c r="D1422" s="290" t="s">
        <v>4</v>
      </c>
    </row>
    <row r="1423" spans="1:4" ht="12" customHeight="1">
      <c r="A1423" s="20" t="s">
        <v>494</v>
      </c>
      <c r="B1423" s="37"/>
      <c r="C1423" s="480">
        <v>0</v>
      </c>
      <c r="D1423" s="377">
        <v>0</v>
      </c>
    </row>
    <row r="1424" spans="1:4" ht="12" customHeight="1">
      <c r="A1424" s="378" t="s">
        <v>495</v>
      </c>
      <c r="B1424" s="37"/>
      <c r="C1424" s="480">
        <f>77+133+8</f>
        <v>218</v>
      </c>
      <c r="D1424" s="377">
        <v>124</v>
      </c>
    </row>
    <row r="1425" spans="1:4" s="41" customFormat="1" ht="12" customHeight="1">
      <c r="A1425" s="20" t="s">
        <v>496</v>
      </c>
      <c r="B1425" s="37"/>
      <c r="C1425" s="480">
        <v>70</v>
      </c>
      <c r="D1425" s="377">
        <v>51</v>
      </c>
    </row>
    <row r="1426" spans="1:4" ht="12.75" customHeight="1">
      <c r="A1426" s="20" t="s">
        <v>497</v>
      </c>
      <c r="B1426" s="37"/>
      <c r="C1426" s="480">
        <v>8</v>
      </c>
      <c r="D1426" s="377">
        <v>6</v>
      </c>
    </row>
    <row r="1427" spans="1:4" ht="12" customHeight="1">
      <c r="A1427" s="20" t="s">
        <v>498</v>
      </c>
      <c r="B1427" s="37"/>
      <c r="C1427" s="480">
        <v>0</v>
      </c>
      <c r="D1427" s="377">
        <v>0</v>
      </c>
    </row>
    <row r="1428" spans="1:4" ht="12.75" customHeight="1">
      <c r="A1428" s="20" t="s">
        <v>499</v>
      </c>
      <c r="B1428" s="37"/>
      <c r="C1428" s="480">
        <f>SUM(C1429:C1434)</f>
        <v>7763</v>
      </c>
      <c r="D1428" s="377">
        <f>SUM(D1429:D1434)</f>
        <v>3684</v>
      </c>
    </row>
    <row r="1429" spans="1:4" ht="12.75" customHeight="1">
      <c r="A1429" s="20" t="s">
        <v>112</v>
      </c>
      <c r="B1429" s="37"/>
      <c r="C1429" s="480">
        <v>6564</v>
      </c>
      <c r="D1429" s="377">
        <v>2708</v>
      </c>
    </row>
    <row r="1430" spans="1:4" ht="12.75" customHeight="1">
      <c r="A1430" s="20" t="s">
        <v>110</v>
      </c>
      <c r="B1430" s="37"/>
      <c r="C1430" s="480">
        <v>201</v>
      </c>
      <c r="D1430" s="377">
        <v>101</v>
      </c>
    </row>
    <row r="1431" spans="1:4" ht="12.75" customHeight="1">
      <c r="A1431" s="20" t="s">
        <v>111</v>
      </c>
      <c r="B1431" s="37"/>
      <c r="C1431" s="480">
        <v>638</v>
      </c>
      <c r="D1431" s="377">
        <v>323</v>
      </c>
    </row>
    <row r="1432" spans="1:4" ht="12.75" customHeight="1">
      <c r="A1432" s="20" t="s">
        <v>190</v>
      </c>
      <c r="B1432" s="37"/>
      <c r="C1432" s="480">
        <v>264</v>
      </c>
      <c r="D1432" s="377">
        <v>0</v>
      </c>
    </row>
    <row r="1433" spans="1:4" ht="12.75" customHeight="1">
      <c r="A1433" s="20" t="s">
        <v>191</v>
      </c>
      <c r="B1433" s="37"/>
      <c r="C1433" s="480">
        <v>66</v>
      </c>
      <c r="D1433" s="377">
        <v>526</v>
      </c>
    </row>
    <row r="1434" spans="1:4" ht="12.75" customHeight="1">
      <c r="A1434" s="20" t="s">
        <v>524</v>
      </c>
      <c r="B1434" s="37"/>
      <c r="C1434" s="480">
        <v>30</v>
      </c>
      <c r="D1434" s="377">
        <v>26</v>
      </c>
    </row>
    <row r="1435" spans="1:4" ht="12" customHeight="1" thickBot="1">
      <c r="A1435" s="26" t="s">
        <v>500</v>
      </c>
      <c r="B1435" s="42"/>
      <c r="C1435" s="481">
        <f>SUM(C1423:C1428)</f>
        <v>8059</v>
      </c>
      <c r="D1435" s="397">
        <f>SUM(D1423:D1428)</f>
        <v>3865</v>
      </c>
    </row>
    <row r="1436" spans="1:4" ht="12" customHeight="1" thickTop="1">
      <c r="A1436" s="27"/>
      <c r="B1436" s="40"/>
      <c r="C1436" s="327"/>
      <c r="D1436" s="327"/>
    </row>
    <row r="1437" spans="1:4" ht="16.5" customHeight="1" thickBot="1">
      <c r="A1437" s="6" t="s">
        <v>501</v>
      </c>
      <c r="B1437" s="33"/>
      <c r="C1437" s="329"/>
      <c r="D1437" s="328"/>
    </row>
    <row r="1438" spans="1:4" ht="34.5" customHeight="1" thickTop="1">
      <c r="A1438" s="361" t="s">
        <v>502</v>
      </c>
      <c r="B1438" s="21"/>
      <c r="C1438" s="427" t="s">
        <v>5</v>
      </c>
      <c r="D1438" s="290" t="s">
        <v>4</v>
      </c>
    </row>
    <row r="1439" spans="1:4" ht="12" customHeight="1">
      <c r="A1439" s="20" t="s">
        <v>494</v>
      </c>
      <c r="B1439" s="37"/>
      <c r="C1439" s="480">
        <v>0</v>
      </c>
      <c r="D1439" s="377">
        <v>0</v>
      </c>
    </row>
    <row r="1440" spans="1:4" ht="12" customHeight="1">
      <c r="A1440" s="20" t="s">
        <v>495</v>
      </c>
      <c r="B1440" s="37"/>
      <c r="C1440" s="480">
        <v>126</v>
      </c>
      <c r="D1440" s="377">
        <v>198</v>
      </c>
    </row>
    <row r="1441" spans="1:4" ht="12" customHeight="1">
      <c r="A1441" s="20" t="s">
        <v>503</v>
      </c>
      <c r="B1441" s="37"/>
      <c r="C1441" s="480">
        <v>1</v>
      </c>
      <c r="D1441" s="377">
        <v>0</v>
      </c>
    </row>
    <row r="1442" spans="1:4" ht="12" customHeight="1">
      <c r="A1442" s="20" t="s">
        <v>504</v>
      </c>
      <c r="B1442" s="37"/>
      <c r="C1442" s="480">
        <v>253</v>
      </c>
      <c r="D1442" s="377">
        <v>78</v>
      </c>
    </row>
    <row r="1443" spans="1:4" s="41" customFormat="1" ht="12" customHeight="1">
      <c r="A1443" s="20" t="s">
        <v>505</v>
      </c>
      <c r="B1443" s="37"/>
      <c r="C1443" s="480">
        <v>354</v>
      </c>
      <c r="D1443" s="377">
        <v>136</v>
      </c>
    </row>
    <row r="1444" spans="1:4" ht="12.75" customHeight="1">
      <c r="A1444" s="20" t="s">
        <v>506</v>
      </c>
      <c r="B1444" s="37"/>
      <c r="C1444" s="480">
        <v>121</v>
      </c>
      <c r="D1444" s="377">
        <v>107</v>
      </c>
    </row>
    <row r="1445" spans="1:4" ht="14.25" customHeight="1">
      <c r="A1445" s="20" t="s">
        <v>507</v>
      </c>
      <c r="B1445" s="37"/>
      <c r="C1445" s="480">
        <f>SUM(C1446:C1449)</f>
        <v>1375</v>
      </c>
      <c r="D1445" s="377">
        <f>SUM(D1446:D1449)</f>
        <v>327</v>
      </c>
    </row>
    <row r="1446" spans="1:4" ht="12" customHeight="1">
      <c r="A1446" s="20" t="s">
        <v>112</v>
      </c>
      <c r="B1446" s="37"/>
      <c r="C1446" s="480">
        <v>1105</v>
      </c>
      <c r="D1446" s="377">
        <v>154</v>
      </c>
    </row>
    <row r="1447" spans="1:4" ht="12" customHeight="1">
      <c r="A1447" s="20" t="s">
        <v>113</v>
      </c>
      <c r="B1447" s="37"/>
      <c r="C1447" s="480">
        <v>86</v>
      </c>
      <c r="D1447" s="377">
        <v>73</v>
      </c>
    </row>
    <row r="1448" spans="1:4" ht="12" customHeight="1">
      <c r="A1448" s="20" t="s">
        <v>192</v>
      </c>
      <c r="B1448" s="37"/>
      <c r="C1448" s="480">
        <v>90</v>
      </c>
      <c r="D1448" s="377">
        <v>0</v>
      </c>
    </row>
    <row r="1449" spans="1:4" ht="12" customHeight="1">
      <c r="A1449" s="20" t="s">
        <v>49</v>
      </c>
      <c r="B1449" s="37"/>
      <c r="C1449" s="480">
        <v>94</v>
      </c>
      <c r="D1449" s="377">
        <v>100</v>
      </c>
    </row>
    <row r="1450" spans="1:4" ht="12" customHeight="1" thickBot="1">
      <c r="A1450" s="26" t="s">
        <v>508</v>
      </c>
      <c r="B1450" s="42"/>
      <c r="C1450" s="481">
        <f>SUM(C1439:C1445)</f>
        <v>2230</v>
      </c>
      <c r="D1450" s="397">
        <f>SUM(D1439:D1445)</f>
        <v>846</v>
      </c>
    </row>
    <row r="1451" spans="1:4" ht="12" customHeight="1" thickTop="1">
      <c r="A1451" s="27"/>
      <c r="B1451" s="40"/>
      <c r="C1451" s="327"/>
      <c r="D1451" s="327"/>
    </row>
    <row r="1452" spans="1:4" ht="12" customHeight="1" thickBot="1">
      <c r="A1452" s="6" t="s">
        <v>509</v>
      </c>
      <c r="B1452" s="33"/>
      <c r="C1452" s="329"/>
      <c r="D1452" s="328"/>
    </row>
    <row r="1453" spans="1:4" ht="35.25" customHeight="1" thickTop="1">
      <c r="A1453" s="361" t="s">
        <v>510</v>
      </c>
      <c r="B1453" s="21"/>
      <c r="C1453" s="427" t="s">
        <v>5</v>
      </c>
      <c r="D1453" s="290" t="s">
        <v>4</v>
      </c>
    </row>
    <row r="1454" spans="1:4" ht="12" customHeight="1">
      <c r="A1454" s="20" t="s">
        <v>511</v>
      </c>
      <c r="B1454" s="37"/>
      <c r="C1454" s="480">
        <v>76903</v>
      </c>
      <c r="D1454" s="377">
        <v>59536</v>
      </c>
    </row>
    <row r="1455" spans="1:4" ht="12" customHeight="1">
      <c r="A1455" s="20" t="s">
        <v>512</v>
      </c>
      <c r="B1455" s="37"/>
      <c r="C1455" s="480">
        <v>738</v>
      </c>
      <c r="D1455" s="377">
        <v>552</v>
      </c>
    </row>
    <row r="1456" spans="1:4" s="41" customFormat="1" ht="12" customHeight="1">
      <c r="A1456" s="20" t="s">
        <v>513</v>
      </c>
      <c r="B1456" s="37"/>
      <c r="C1456" s="480">
        <f>36594-229</f>
        <v>36365</v>
      </c>
      <c r="D1456" s="377">
        <v>27154</v>
      </c>
    </row>
    <row r="1457" spans="1:4" ht="15" customHeight="1">
      <c r="A1457" s="20" t="s">
        <v>514</v>
      </c>
      <c r="B1457" s="37"/>
      <c r="C1457" s="480">
        <f>1172+229</f>
        <v>1401</v>
      </c>
      <c r="D1457" s="377">
        <v>948</v>
      </c>
    </row>
    <row r="1458" spans="1:4" ht="14.25" customHeight="1">
      <c r="A1458" s="20" t="s">
        <v>515</v>
      </c>
      <c r="B1458" s="37"/>
      <c r="C1458" s="480">
        <v>2218</v>
      </c>
      <c r="D1458" s="377">
        <v>2508</v>
      </c>
    </row>
    <row r="1459" spans="1:4" ht="12" customHeight="1">
      <c r="A1459" s="20" t="s">
        <v>516</v>
      </c>
      <c r="B1459" s="37"/>
      <c r="C1459" s="480">
        <f>SUM(C1460:C1461)</f>
        <v>1261</v>
      </c>
      <c r="D1459" s="377">
        <f>SUM(D1460:D1461)</f>
        <v>1136</v>
      </c>
    </row>
    <row r="1460" spans="1:4" ht="12" customHeight="1">
      <c r="A1460" s="20" t="s">
        <v>114</v>
      </c>
      <c r="B1460" s="37"/>
      <c r="C1460" s="480">
        <v>960</v>
      </c>
      <c r="D1460" s="377">
        <v>867</v>
      </c>
    </row>
    <row r="1461" spans="1:4" ht="12" customHeight="1">
      <c r="A1461" s="20" t="s">
        <v>115</v>
      </c>
      <c r="B1461" s="37"/>
      <c r="C1461" s="480">
        <v>301</v>
      </c>
      <c r="D1461" s="377">
        <v>269</v>
      </c>
    </row>
    <row r="1462" spans="1:4" ht="12" customHeight="1" thickBot="1">
      <c r="A1462" s="26" t="s">
        <v>517</v>
      </c>
      <c r="B1462" s="42"/>
      <c r="C1462" s="481">
        <f>SUM(C1454:C1459)</f>
        <v>118886</v>
      </c>
      <c r="D1462" s="397">
        <f>SUM(D1454:D1459)</f>
        <v>91834</v>
      </c>
    </row>
    <row r="1463" spans="1:4" ht="12" customHeight="1" thickTop="1">
      <c r="A1463" s="27"/>
      <c r="B1463" s="40"/>
      <c r="C1463" s="327"/>
      <c r="D1463" s="327"/>
    </row>
    <row r="1464" spans="1:4" ht="12" customHeight="1" thickBot="1">
      <c r="A1464" s="6" t="s">
        <v>518</v>
      </c>
      <c r="B1464" s="33"/>
      <c r="C1464" s="329"/>
      <c r="D1464" s="328"/>
    </row>
    <row r="1465" spans="1:4" ht="33.75" customHeight="1" thickTop="1">
      <c r="A1465" s="361" t="s">
        <v>519</v>
      </c>
      <c r="B1465" s="21"/>
      <c r="C1465" s="427" t="s">
        <v>5</v>
      </c>
      <c r="D1465" s="290" t="s">
        <v>4</v>
      </c>
    </row>
    <row r="1466" spans="1:4" ht="12.75" customHeight="1">
      <c r="A1466" s="20" t="s">
        <v>520</v>
      </c>
      <c r="B1466" s="37"/>
      <c r="C1466" s="480">
        <f>SUM(C1467:C1474)</f>
        <v>37769</v>
      </c>
      <c r="D1466" s="377">
        <f>SUM(D1467:D1474)</f>
        <v>33765</v>
      </c>
    </row>
    <row r="1467" spans="1:4" ht="12.75" customHeight="1">
      <c r="A1467" s="20" t="s">
        <v>274</v>
      </c>
      <c r="B1467" s="37"/>
      <c r="C1467" s="480">
        <v>1406</v>
      </c>
      <c r="D1467" s="377">
        <v>0</v>
      </c>
    </row>
    <row r="1468" spans="1:4" ht="12.75" customHeight="1">
      <c r="A1468" s="20" t="s">
        <v>275</v>
      </c>
      <c r="B1468" s="37"/>
      <c r="C1468" s="480">
        <v>671</v>
      </c>
      <c r="D1468" s="377">
        <v>0</v>
      </c>
    </row>
    <row r="1469" spans="1:4" ht="12.75" customHeight="1">
      <c r="A1469" s="20" t="s">
        <v>521</v>
      </c>
      <c r="B1469" s="37"/>
      <c r="C1469" s="480">
        <v>27878</v>
      </c>
      <c r="D1469" s="377">
        <v>18995</v>
      </c>
    </row>
    <row r="1470" spans="1:4" ht="12.75" customHeight="1">
      <c r="A1470" s="20" t="s">
        <v>522</v>
      </c>
      <c r="B1470" s="37"/>
      <c r="C1470" s="480">
        <v>456</v>
      </c>
      <c r="D1470" s="377">
        <v>0</v>
      </c>
    </row>
    <row r="1471" spans="1:4" ht="12.75" customHeight="1">
      <c r="A1471" s="20" t="s">
        <v>523</v>
      </c>
      <c r="B1471" s="37"/>
      <c r="C1471" s="480">
        <v>1000</v>
      </c>
      <c r="D1471" s="377">
        <v>13750</v>
      </c>
    </row>
    <row r="1472" spans="1:4" ht="12.75" customHeight="1">
      <c r="A1472" s="20" t="s">
        <v>116</v>
      </c>
      <c r="B1472" s="37"/>
      <c r="C1472" s="480">
        <v>53</v>
      </c>
      <c r="D1472" s="377">
        <v>424</v>
      </c>
    </row>
    <row r="1473" spans="1:4" ht="12.75" customHeight="1">
      <c r="A1473" s="20" t="s">
        <v>1046</v>
      </c>
      <c r="B1473" s="38"/>
      <c r="C1473" s="487">
        <v>311</v>
      </c>
      <c r="D1473" s="635"/>
    </row>
    <row r="1474" spans="1:4" s="41" customFormat="1" ht="12.75" customHeight="1">
      <c r="A1474" s="20" t="s">
        <v>524</v>
      </c>
      <c r="B1474" s="38"/>
      <c r="C1474" s="487">
        <v>5994</v>
      </c>
      <c r="D1474" s="403">
        <v>596</v>
      </c>
    </row>
    <row r="1475" spans="1:4" ht="12.75" customHeight="1">
      <c r="A1475" s="20" t="s">
        <v>525</v>
      </c>
      <c r="B1475" s="38"/>
      <c r="C1475" s="487">
        <f>SUM(C1476:C1477)</f>
        <v>206</v>
      </c>
      <c r="D1475" s="403">
        <f>SUM(D1476:D1477)</f>
        <v>2755</v>
      </c>
    </row>
    <row r="1476" spans="1:4" ht="12.75" customHeight="1">
      <c r="A1476" s="20" t="s">
        <v>526</v>
      </c>
      <c r="B1476" s="37"/>
      <c r="C1476" s="480">
        <v>206</v>
      </c>
      <c r="D1476" s="377">
        <v>2755</v>
      </c>
    </row>
    <row r="1477" spans="1:4" ht="12.75" customHeight="1">
      <c r="A1477" s="20" t="s">
        <v>524</v>
      </c>
      <c r="B1477" s="37"/>
      <c r="C1477" s="480">
        <v>0</v>
      </c>
      <c r="D1477" s="377">
        <v>0</v>
      </c>
    </row>
    <row r="1478" spans="1:4" ht="12.75" customHeight="1" thickBot="1">
      <c r="A1478" s="26" t="s">
        <v>527</v>
      </c>
      <c r="B1478" s="42"/>
      <c r="C1478" s="481">
        <f>C1466+C1475</f>
        <v>37975</v>
      </c>
      <c r="D1478" s="397">
        <f>D1466+D1475</f>
        <v>36520</v>
      </c>
    </row>
    <row r="1479" spans="1:4" ht="29.25" customHeight="1" thickTop="1">
      <c r="A1479" s="27"/>
      <c r="B1479" s="40"/>
      <c r="C1479" s="327"/>
      <c r="D1479" s="327"/>
    </row>
    <row r="1480" spans="1:4" ht="24.75" customHeight="1" thickBot="1">
      <c r="A1480" s="6" t="s">
        <v>528</v>
      </c>
      <c r="B1480" s="33"/>
      <c r="C1480" s="329"/>
      <c r="D1480" s="328"/>
    </row>
    <row r="1481" spans="1:4" ht="36.75" customHeight="1" thickTop="1">
      <c r="A1481" s="361" t="s">
        <v>529</v>
      </c>
      <c r="B1481" s="21"/>
      <c r="C1481" s="427" t="s">
        <v>5</v>
      </c>
      <c r="D1481" s="290" t="s">
        <v>4</v>
      </c>
    </row>
    <row r="1482" spans="1:4" ht="12" customHeight="1">
      <c r="A1482" s="20" t="s">
        <v>530</v>
      </c>
      <c r="B1482" s="37"/>
      <c r="C1482" s="480">
        <f>SUM(C1483:C1490)</f>
        <v>25585</v>
      </c>
      <c r="D1482" s="377">
        <f>SUM(D1483:D1490)</f>
        <v>14578</v>
      </c>
    </row>
    <row r="1483" spans="1:4" ht="12" customHeight="1">
      <c r="A1483" s="20" t="s">
        <v>274</v>
      </c>
      <c r="B1483" s="38"/>
      <c r="C1483" s="487">
        <v>218</v>
      </c>
      <c r="D1483" s="403">
        <v>0</v>
      </c>
    </row>
    <row r="1484" spans="1:4" ht="12" customHeight="1">
      <c r="A1484" s="20" t="s">
        <v>275</v>
      </c>
      <c r="B1484" s="38"/>
      <c r="C1484" s="487">
        <v>390</v>
      </c>
      <c r="D1484" s="403">
        <v>0</v>
      </c>
    </row>
    <row r="1485" spans="1:4" ht="12" customHeight="1">
      <c r="A1485" s="20" t="s">
        <v>521</v>
      </c>
      <c r="B1485" s="38"/>
      <c r="C1485" s="487">
        <v>22388</v>
      </c>
      <c r="D1485" s="403">
        <v>8833</v>
      </c>
    </row>
    <row r="1486" spans="1:4" ht="12" customHeight="1">
      <c r="A1486" s="20" t="s">
        <v>522</v>
      </c>
      <c r="B1486" s="38"/>
      <c r="C1486" s="487">
        <v>59</v>
      </c>
      <c r="D1486" s="403">
        <v>0</v>
      </c>
    </row>
    <row r="1487" spans="1:4" ht="12" customHeight="1">
      <c r="A1487" s="20" t="s">
        <v>523</v>
      </c>
      <c r="B1487" s="38"/>
      <c r="C1487" s="487">
        <v>0</v>
      </c>
      <c r="D1487" s="403">
        <v>5320</v>
      </c>
    </row>
    <row r="1488" spans="1:4" ht="12" customHeight="1">
      <c r="A1488" s="20" t="s">
        <v>116</v>
      </c>
      <c r="B1488" s="38"/>
      <c r="C1488" s="487">
        <v>25</v>
      </c>
      <c r="D1488" s="403">
        <v>425</v>
      </c>
    </row>
    <row r="1489" spans="1:4" ht="12" customHeight="1">
      <c r="A1489" s="20" t="s">
        <v>1046</v>
      </c>
      <c r="B1489" s="37"/>
      <c r="C1489" s="480">
        <v>2504</v>
      </c>
      <c r="D1489" s="377">
        <v>0</v>
      </c>
    </row>
    <row r="1490" spans="1:4" s="41" customFormat="1" ht="12" customHeight="1">
      <c r="A1490" s="20" t="s">
        <v>524</v>
      </c>
      <c r="B1490" s="37"/>
      <c r="C1490" s="480">
        <v>1</v>
      </c>
      <c r="D1490" s="377">
        <v>0</v>
      </c>
    </row>
    <row r="1491" spans="1:4" ht="12.75" customHeight="1">
      <c r="A1491" s="20" t="s">
        <v>531</v>
      </c>
      <c r="B1491" s="37"/>
      <c r="C1491" s="480">
        <f>SUM(C1492:C1493)</f>
        <v>0</v>
      </c>
      <c r="D1491" s="377">
        <f>SUM(D1492:D1493)</f>
        <v>457</v>
      </c>
    </row>
    <row r="1492" spans="1:4" ht="14.25" customHeight="1">
      <c r="A1492" s="20" t="s">
        <v>532</v>
      </c>
      <c r="B1492" s="37"/>
      <c r="C1492" s="480">
        <v>0</v>
      </c>
      <c r="D1492" s="377">
        <v>457</v>
      </c>
    </row>
    <row r="1493" spans="1:4" ht="12.75" customHeight="1">
      <c r="A1493" s="20" t="s">
        <v>524</v>
      </c>
      <c r="B1493" s="37"/>
      <c r="C1493" s="480">
        <v>0</v>
      </c>
      <c r="D1493" s="377">
        <v>0</v>
      </c>
    </row>
    <row r="1494" spans="1:4" ht="12.75" customHeight="1" thickBot="1">
      <c r="A1494" s="26" t="s">
        <v>533</v>
      </c>
      <c r="B1494" s="42"/>
      <c r="C1494" s="481">
        <f>C1482+C1491</f>
        <v>25585</v>
      </c>
      <c r="D1494" s="397">
        <f>D1482+D1491</f>
        <v>15035</v>
      </c>
    </row>
    <row r="1495" spans="1:4" ht="12.75" customHeight="1" thickTop="1">
      <c r="A1495" s="27"/>
      <c r="B1495" s="40"/>
      <c r="C1495" s="327"/>
      <c r="D1495" s="327"/>
    </row>
    <row r="1496" spans="1:4" ht="12.75" customHeight="1" thickBot="1">
      <c r="A1496" s="6" t="s">
        <v>534</v>
      </c>
      <c r="B1496" s="33"/>
      <c r="C1496" s="329"/>
      <c r="D1496" s="328"/>
    </row>
    <row r="1497" spans="1:4" s="41" customFormat="1" ht="35.25" customHeight="1" thickTop="1">
      <c r="A1497" s="361" t="s">
        <v>535</v>
      </c>
      <c r="B1497" s="21"/>
      <c r="C1497" s="427" t="s">
        <v>5</v>
      </c>
      <c r="D1497" s="290" t="s">
        <v>4</v>
      </c>
    </row>
    <row r="1498" spans="1:4" ht="12.75" customHeight="1">
      <c r="A1498" s="20" t="s">
        <v>536</v>
      </c>
      <c r="B1498" s="38"/>
      <c r="C1498" s="487">
        <v>25</v>
      </c>
      <c r="D1498" s="403">
        <v>0</v>
      </c>
    </row>
    <row r="1499" spans="1:4" ht="17.25" customHeight="1">
      <c r="A1499" s="20" t="s">
        <v>537</v>
      </c>
      <c r="B1499" s="37"/>
      <c r="C1499" s="480">
        <v>0</v>
      </c>
      <c r="D1499" s="377">
        <v>0</v>
      </c>
    </row>
    <row r="1500" spans="1:4" ht="12.75" customHeight="1" thickBot="1">
      <c r="A1500" s="26" t="s">
        <v>538</v>
      </c>
      <c r="B1500" s="42"/>
      <c r="C1500" s="481">
        <f>SUM(C1498:C1499)</f>
        <v>25</v>
      </c>
      <c r="D1500" s="397">
        <f>SUM(D1498:D1499)</f>
        <v>0</v>
      </c>
    </row>
    <row r="1501" spans="1:4" ht="12.75" customHeight="1" thickTop="1">
      <c r="A1501" s="27"/>
      <c r="B1501" s="40"/>
      <c r="C1501" s="327"/>
      <c r="D1501" s="327"/>
    </row>
    <row r="1502" spans="1:4" ht="12.75" customHeight="1" thickBot="1">
      <c r="A1502" s="6" t="s">
        <v>539</v>
      </c>
      <c r="B1502" s="33"/>
      <c r="C1502" s="329"/>
      <c r="D1502" s="328"/>
    </row>
    <row r="1503" spans="1:4" s="41" customFormat="1" ht="33.75" customHeight="1" thickTop="1">
      <c r="A1503" s="361" t="s">
        <v>540</v>
      </c>
      <c r="B1503" s="21"/>
      <c r="C1503" s="427" t="s">
        <v>5</v>
      </c>
      <c r="D1503" s="290" t="s">
        <v>4</v>
      </c>
    </row>
    <row r="1504" spans="1:4" ht="12.75" customHeight="1">
      <c r="A1504" s="20" t="s">
        <v>536</v>
      </c>
      <c r="B1504" s="37"/>
      <c r="C1504" s="480">
        <v>16</v>
      </c>
      <c r="D1504" s="377">
        <v>0</v>
      </c>
    </row>
    <row r="1505" spans="1:4" ht="12.75" customHeight="1">
      <c r="A1505" s="20" t="s">
        <v>537</v>
      </c>
      <c r="B1505" s="37"/>
      <c r="C1505" s="480">
        <v>0</v>
      </c>
      <c r="D1505" s="377">
        <v>0</v>
      </c>
    </row>
    <row r="1506" spans="1:4" ht="12.75" customHeight="1" thickBot="1">
      <c r="A1506" s="26" t="s">
        <v>541</v>
      </c>
      <c r="B1506" s="42"/>
      <c r="C1506" s="481">
        <f>SUM(C1504:C1505)</f>
        <v>16</v>
      </c>
      <c r="D1506" s="397">
        <f>SUM(D1504+D1505)</f>
        <v>0</v>
      </c>
    </row>
    <row r="1507" spans="1:4" ht="12.75" customHeight="1" thickTop="1">
      <c r="A1507" s="27"/>
      <c r="B1507" s="40"/>
      <c r="C1507" s="327"/>
      <c r="D1507" s="327"/>
    </row>
    <row r="1508" spans="1:4" ht="16.5" customHeight="1" thickBot="1">
      <c r="A1508" s="6" t="s">
        <v>542</v>
      </c>
      <c r="B1508" s="33"/>
      <c r="C1508" s="329"/>
      <c r="D1508" s="328"/>
    </row>
    <row r="1509" spans="1:4" ht="34.5" customHeight="1" thickTop="1">
      <c r="A1509" s="361" t="s">
        <v>543</v>
      </c>
      <c r="B1509" s="21"/>
      <c r="C1509" s="427" t="s">
        <v>5</v>
      </c>
      <c r="D1509" s="290" t="s">
        <v>4</v>
      </c>
    </row>
    <row r="1510" spans="1:4" ht="12.75" customHeight="1">
      <c r="A1510" s="20" t="s">
        <v>276</v>
      </c>
      <c r="B1510" s="37"/>
      <c r="C1510" s="480">
        <v>141180</v>
      </c>
      <c r="D1510" s="377">
        <v>148136</v>
      </c>
    </row>
    <row r="1511" spans="1:4" ht="23.25" customHeight="1">
      <c r="A1511" s="20" t="s">
        <v>544</v>
      </c>
      <c r="B1511" s="37"/>
      <c r="C1511" s="480">
        <v>1378</v>
      </c>
      <c r="D1511" s="377">
        <v>649</v>
      </c>
    </row>
    <row r="1512" spans="1:4" ht="25.5" customHeight="1">
      <c r="A1512" s="20" t="s">
        <v>545</v>
      </c>
      <c r="B1512" s="37"/>
      <c r="C1512" s="480">
        <v>-79639</v>
      </c>
      <c r="D1512" s="377">
        <v>4255</v>
      </c>
    </row>
    <row r="1513" spans="1:4" ht="24" customHeight="1">
      <c r="A1513" s="20" t="s">
        <v>546</v>
      </c>
      <c r="B1513" s="37"/>
      <c r="C1513" s="480">
        <v>-15780</v>
      </c>
      <c r="D1513" s="377">
        <v>-29949</v>
      </c>
    </row>
    <row r="1514" spans="1:4" ht="12.75" customHeight="1">
      <c r="A1514" s="20" t="s">
        <v>547</v>
      </c>
      <c r="B1514" s="37"/>
      <c r="C1514" s="480">
        <v>0</v>
      </c>
      <c r="D1514" s="377">
        <v>0</v>
      </c>
    </row>
    <row r="1515" spans="1:4" ht="12.75" customHeight="1">
      <c r="A1515" s="20" t="s">
        <v>548</v>
      </c>
      <c r="B1515" s="37"/>
      <c r="C1515" s="480">
        <v>47139</v>
      </c>
      <c r="D1515" s="377">
        <v>123091</v>
      </c>
    </row>
    <row r="1516" spans="1:4" ht="12.75" customHeight="1">
      <c r="A1516" s="20" t="s">
        <v>372</v>
      </c>
      <c r="B1516" s="37"/>
      <c r="C1516" s="480">
        <v>16028</v>
      </c>
      <c r="D1516" s="377">
        <v>44312</v>
      </c>
    </row>
    <row r="1517" spans="1:4" ht="12.75" customHeight="1">
      <c r="A1517" s="20" t="s">
        <v>549</v>
      </c>
      <c r="B1517" s="37"/>
      <c r="C1517" s="480">
        <v>73</v>
      </c>
      <c r="D1517" s="377">
        <v>27</v>
      </c>
    </row>
    <row r="1518" spans="1:4" ht="12.75" customHeight="1">
      <c r="A1518" s="20" t="s">
        <v>550</v>
      </c>
      <c r="B1518" s="37"/>
      <c r="C1518" s="480">
        <v>15955</v>
      </c>
      <c r="D1518" s="377">
        <v>44285</v>
      </c>
    </row>
    <row r="1519" spans="1:4" ht="12.75" customHeight="1">
      <c r="A1519" s="20" t="s">
        <v>551</v>
      </c>
      <c r="B1519" s="37"/>
      <c r="C1519" s="480">
        <v>36319</v>
      </c>
      <c r="D1519" s="377">
        <f>SUM(D1520+D1521-D1522)</f>
        <v>8257</v>
      </c>
    </row>
    <row r="1520" spans="1:4" ht="12.75" customHeight="1">
      <c r="A1520" s="20" t="s">
        <v>552</v>
      </c>
      <c r="B1520" s="37"/>
      <c r="C1520" s="480">
        <v>8257</v>
      </c>
      <c r="D1520" s="377">
        <v>6147</v>
      </c>
    </row>
    <row r="1521" spans="1:4" ht="12.75" customHeight="1">
      <c r="A1521" s="20" t="s">
        <v>553</v>
      </c>
      <c r="B1521" s="37"/>
      <c r="C1521" s="480">
        <v>28062</v>
      </c>
      <c r="D1521" s="377">
        <v>2110</v>
      </c>
    </row>
    <row r="1522" spans="1:4" ht="12.75" customHeight="1">
      <c r="A1522" s="20" t="s">
        <v>554</v>
      </c>
      <c r="B1522" s="37"/>
      <c r="C1522" s="480">
        <v>0</v>
      </c>
      <c r="D1522" s="377">
        <v>0</v>
      </c>
    </row>
    <row r="1523" spans="1:4" s="41" customFormat="1" ht="12.75" customHeight="1">
      <c r="A1523" s="20" t="s">
        <v>555</v>
      </c>
      <c r="B1523" s="37"/>
      <c r="C1523" s="480">
        <v>36319</v>
      </c>
      <c r="D1523" s="377">
        <f>D1519</f>
        <v>8257</v>
      </c>
    </row>
    <row r="1524" spans="1:4" s="8" customFormat="1" ht="12.75" customHeight="1">
      <c r="A1524" s="378" t="s">
        <v>556</v>
      </c>
      <c r="B1524" s="37"/>
      <c r="C1524" s="480">
        <v>0</v>
      </c>
      <c r="D1524" s="377">
        <v>0</v>
      </c>
    </row>
    <row r="1525" spans="1:4" s="8" customFormat="1" ht="12.75" customHeight="1">
      <c r="A1525" s="20" t="s">
        <v>552</v>
      </c>
      <c r="B1525" s="37"/>
      <c r="C1525" s="480">
        <v>0</v>
      </c>
      <c r="D1525" s="377">
        <v>0</v>
      </c>
    </row>
    <row r="1526" spans="1:4" s="8" customFormat="1" ht="12.75" customHeight="1">
      <c r="A1526" s="20" t="s">
        <v>553</v>
      </c>
      <c r="B1526" s="37"/>
      <c r="C1526" s="480">
        <v>0</v>
      </c>
      <c r="D1526" s="377">
        <v>0</v>
      </c>
    </row>
    <row r="1527" spans="1:4" s="8" customFormat="1" ht="12.75" customHeight="1">
      <c r="A1527" s="20" t="s">
        <v>554</v>
      </c>
      <c r="B1527" s="37"/>
      <c r="C1527" s="480">
        <v>0</v>
      </c>
      <c r="D1527" s="377">
        <v>0</v>
      </c>
    </row>
    <row r="1528" spans="1:4" s="8" customFormat="1" ht="12.75" customHeight="1">
      <c r="A1528" s="20" t="s">
        <v>555</v>
      </c>
      <c r="B1528" s="37"/>
      <c r="C1528" s="480">
        <v>0</v>
      </c>
      <c r="D1528" s="377">
        <v>0</v>
      </c>
    </row>
    <row r="1529" spans="1:4" s="8" customFormat="1" ht="27.75" customHeight="1" thickBot="1">
      <c r="A1529" s="26" t="s">
        <v>557</v>
      </c>
      <c r="B1529" s="42"/>
      <c r="C1529" s="481">
        <v>44090</v>
      </c>
      <c r="D1529" s="397">
        <v>46422</v>
      </c>
    </row>
    <row r="1530" spans="1:4" s="8" customFormat="1" ht="12.75" customHeight="1" thickTop="1">
      <c r="A1530" s="27"/>
      <c r="B1530" s="40"/>
      <c r="C1530" s="327"/>
      <c r="D1530" s="327"/>
    </row>
    <row r="1531" spans="1:4" s="8" customFormat="1" ht="12.75" customHeight="1">
      <c r="A1531" s="549" t="s">
        <v>874</v>
      </c>
      <c r="B1531" s="550"/>
      <c r="C1531" s="551"/>
      <c r="D1531" s="552"/>
    </row>
    <row r="1532" spans="1:4" s="8" customFormat="1" ht="12.75" customHeight="1">
      <c r="A1532" s="553" t="s">
        <v>875</v>
      </c>
      <c r="B1532" s="550"/>
      <c r="C1532" s="551"/>
      <c r="D1532" s="552"/>
    </row>
    <row r="1533" spans="1:4" s="8" customFormat="1" ht="12.75" customHeight="1">
      <c r="A1533" s="554"/>
      <c r="B1533" s="555"/>
      <c r="C1533" s="208"/>
      <c r="D1533" s="534"/>
    </row>
    <row r="1534" spans="1:4" s="8" customFormat="1" ht="12.75" customHeight="1">
      <c r="A1534" s="556"/>
      <c r="B1534" s="557"/>
      <c r="C1534" s="590" t="s">
        <v>838</v>
      </c>
      <c r="D1534" s="590" t="s">
        <v>861</v>
      </c>
    </row>
    <row r="1535" spans="1:4" s="8" customFormat="1" ht="12.75" customHeight="1">
      <c r="A1535" s="558" t="s">
        <v>876</v>
      </c>
      <c r="B1535" s="559"/>
      <c r="C1535" s="559"/>
      <c r="D1535" s="559"/>
    </row>
    <row r="1536" spans="1:4" s="8" customFormat="1" ht="25.5" customHeight="1">
      <c r="A1536" s="560" t="s">
        <v>877</v>
      </c>
      <c r="B1536" s="561"/>
      <c r="C1536" s="561">
        <f>C1539+C1548</f>
        <v>1378</v>
      </c>
      <c r="D1536" s="561">
        <f>D1539+D1548</f>
        <v>649</v>
      </c>
    </row>
    <row r="1537" spans="1:4" s="8" customFormat="1" ht="12.75" customHeight="1">
      <c r="A1537" s="558" t="s">
        <v>878</v>
      </c>
      <c r="B1537" s="562"/>
      <c r="C1537" s="562"/>
      <c r="D1537" s="562"/>
    </row>
    <row r="1538" spans="1:4" s="8" customFormat="1" ht="12.75" customHeight="1">
      <c r="A1538" s="556" t="s">
        <v>879</v>
      </c>
      <c r="B1538" s="562"/>
      <c r="C1538" s="562"/>
      <c r="D1538" s="562"/>
    </row>
    <row r="1539" spans="1:4" s="8" customFormat="1" ht="12.75" customHeight="1">
      <c r="A1539" s="563" t="s">
        <v>880</v>
      </c>
      <c r="B1539" s="561"/>
      <c r="C1539" s="561">
        <f>SUM(C1541:C1546)</f>
        <v>1943</v>
      </c>
      <c r="D1539" s="561">
        <f>SUM(D1541:D1546)</f>
        <v>785</v>
      </c>
    </row>
    <row r="1540" spans="1:4" s="8" customFormat="1" ht="12.75" customHeight="1">
      <c r="A1540" s="564" t="s">
        <v>881</v>
      </c>
      <c r="B1540" s="562"/>
      <c r="C1540" s="562"/>
      <c r="D1540" s="562"/>
    </row>
    <row r="1541" spans="1:4" s="8" customFormat="1" ht="12.75" customHeight="1">
      <c r="A1541" s="565" t="s">
        <v>882</v>
      </c>
      <c r="B1541" s="566"/>
      <c r="C1541" s="566">
        <v>225</v>
      </c>
      <c r="D1541" s="566">
        <v>122</v>
      </c>
    </row>
    <row r="1542" spans="1:4" s="8" customFormat="1" ht="12.75" customHeight="1">
      <c r="A1542" s="565" t="s">
        <v>883</v>
      </c>
      <c r="B1542" s="566"/>
      <c r="C1542" s="566">
        <v>114</v>
      </c>
      <c r="D1542" s="566">
        <v>109</v>
      </c>
    </row>
    <row r="1543" spans="1:4" s="8" customFormat="1" ht="12.75" customHeight="1">
      <c r="A1543" s="558" t="s">
        <v>884</v>
      </c>
      <c r="B1543" s="566"/>
      <c r="C1543" s="566">
        <v>354</v>
      </c>
      <c r="D1543" s="566">
        <v>136</v>
      </c>
    </row>
    <row r="1544" spans="1:4" s="8" customFormat="1" ht="12.75" customHeight="1">
      <c r="A1544" s="564" t="s">
        <v>885</v>
      </c>
      <c r="B1544" s="566"/>
      <c r="C1544" s="566">
        <v>250</v>
      </c>
      <c r="D1544" s="566">
        <v>163</v>
      </c>
    </row>
    <row r="1545" spans="1:4" s="8" customFormat="1" ht="12.75" customHeight="1">
      <c r="A1545" s="565" t="s">
        <v>886</v>
      </c>
      <c r="B1545" s="566"/>
      <c r="C1545" s="566">
        <v>623</v>
      </c>
      <c r="D1545" s="566">
        <v>4</v>
      </c>
    </row>
    <row r="1546" spans="1:4" s="8" customFormat="1" ht="12.75" customHeight="1">
      <c r="A1546" s="564" t="s">
        <v>887</v>
      </c>
      <c r="B1546" s="566"/>
      <c r="C1546" s="566">
        <v>377</v>
      </c>
      <c r="D1546" s="566">
        <v>251</v>
      </c>
    </row>
    <row r="1547" spans="1:4" s="8" customFormat="1" ht="12.75" customHeight="1">
      <c r="A1547" s="564"/>
      <c r="B1547" s="566"/>
      <c r="C1547" s="566"/>
      <c r="D1547" s="566"/>
    </row>
    <row r="1548" spans="1:4" s="8" customFormat="1" ht="12.75" customHeight="1">
      <c r="A1548" s="567" t="s">
        <v>888</v>
      </c>
      <c r="B1548" s="568"/>
      <c r="C1548" s="568">
        <f>SUM(C1550+C1551)</f>
        <v>-565</v>
      </c>
      <c r="D1548" s="568">
        <f>SUM(D1550)</f>
        <v>-136</v>
      </c>
    </row>
    <row r="1549" spans="1:4" s="8" customFormat="1" ht="12.75" customHeight="1">
      <c r="A1549" s="569" t="s">
        <v>881</v>
      </c>
      <c r="B1549" s="566"/>
      <c r="C1549" s="566"/>
      <c r="D1549" s="566"/>
    </row>
    <row r="1550" spans="1:4" s="8" customFormat="1" ht="12.75" customHeight="1">
      <c r="A1550" s="564" t="s">
        <v>889</v>
      </c>
      <c r="B1550" s="566"/>
      <c r="C1550" s="566">
        <v>-364</v>
      </c>
      <c r="D1550" s="566">
        <v>-136</v>
      </c>
    </row>
    <row r="1551" spans="1:4" s="8" customFormat="1" ht="12.75" customHeight="1">
      <c r="A1551" s="564" t="s">
        <v>887</v>
      </c>
      <c r="B1551" s="566"/>
      <c r="C1551" s="566">
        <v>-201</v>
      </c>
      <c r="D1551" s="566">
        <v>0</v>
      </c>
    </row>
    <row r="1552" spans="1:4" s="8" customFormat="1" ht="12.75" customHeight="1">
      <c r="A1552" s="570" t="s">
        <v>890</v>
      </c>
      <c r="B1552" s="561"/>
      <c r="C1552" s="561"/>
      <c r="D1552" s="561"/>
    </row>
    <row r="1553" spans="1:4" s="8" customFormat="1" ht="12.75" customHeight="1">
      <c r="A1553" s="563" t="s">
        <v>891</v>
      </c>
      <c r="B1553" s="561"/>
      <c r="C1553" s="561">
        <f>C1555+C1565</f>
        <v>-79639</v>
      </c>
      <c r="D1553" s="561">
        <f>D1555+D1565</f>
        <v>4255</v>
      </c>
    </row>
    <row r="1554" spans="1:4" s="8" customFormat="1" ht="12.75" customHeight="1">
      <c r="A1554" s="563"/>
      <c r="B1554" s="561"/>
      <c r="C1554" s="561"/>
      <c r="D1554" s="561"/>
    </row>
    <row r="1555" spans="1:4" s="8" customFormat="1" ht="12.75" customHeight="1">
      <c r="A1555" s="571" t="s">
        <v>892</v>
      </c>
      <c r="B1555" s="561"/>
      <c r="C1555" s="561">
        <f>SUM(C1556:C1562)</f>
        <v>116887</v>
      </c>
      <c r="D1555" s="561">
        <f>SUM(D1556:D1562)</f>
        <v>110422</v>
      </c>
    </row>
    <row r="1556" spans="1:4" s="8" customFormat="1" ht="12.75" customHeight="1">
      <c r="A1556" s="558" t="s">
        <v>822</v>
      </c>
      <c r="B1556" s="566"/>
      <c r="C1556" s="566">
        <v>35732</v>
      </c>
      <c r="D1556" s="566">
        <v>42523</v>
      </c>
    </row>
    <row r="1557" spans="1:4" s="8" customFormat="1" ht="12.75" customHeight="1">
      <c r="A1557" s="565" t="s">
        <v>893</v>
      </c>
      <c r="B1557" s="566"/>
      <c r="C1557" s="566">
        <v>24729</v>
      </c>
      <c r="D1557" s="566">
        <v>20483</v>
      </c>
    </row>
    <row r="1558" spans="1:4" s="8" customFormat="1" ht="12.75" customHeight="1">
      <c r="A1558" s="565" t="s">
        <v>168</v>
      </c>
      <c r="B1558" s="566"/>
      <c r="C1558" s="566">
        <v>26</v>
      </c>
      <c r="D1558" s="566">
        <v>5044</v>
      </c>
    </row>
    <row r="1559" spans="1:4" s="8" customFormat="1" ht="12.75" customHeight="1">
      <c r="A1559" s="565" t="s">
        <v>894</v>
      </c>
      <c r="B1559" s="566"/>
      <c r="C1559" s="566">
        <v>4750</v>
      </c>
      <c r="D1559" s="566">
        <v>3206</v>
      </c>
    </row>
    <row r="1560" spans="1:4" s="8" customFormat="1" ht="12.75" customHeight="1">
      <c r="A1560" s="565" t="s">
        <v>895</v>
      </c>
      <c r="B1560" s="566"/>
      <c r="C1560" s="566">
        <v>29692</v>
      </c>
      <c r="D1560" s="566">
        <v>32072</v>
      </c>
    </row>
    <row r="1561" spans="1:4" s="8" customFormat="1" ht="12.75" customHeight="1">
      <c r="A1561" s="565" t="s">
        <v>465</v>
      </c>
      <c r="B1561" s="566"/>
      <c r="C1561" s="566">
        <v>11319</v>
      </c>
      <c r="D1561" s="566">
        <v>3159</v>
      </c>
    </row>
    <row r="1562" spans="1:4" s="8" customFormat="1" ht="12.75" customHeight="1">
      <c r="A1562" s="565" t="s">
        <v>896</v>
      </c>
      <c r="B1562" s="566"/>
      <c r="C1562" s="566">
        <v>10639</v>
      </c>
      <c r="D1562" s="566">
        <v>3935</v>
      </c>
    </row>
    <row r="1563" spans="1:4" s="8" customFormat="1" ht="12.75" customHeight="1">
      <c r="A1563" s="565"/>
      <c r="B1563" s="566"/>
      <c r="C1563" s="566"/>
      <c r="D1563" s="566"/>
    </row>
    <row r="1564" spans="1:4" s="8" customFormat="1" ht="12.75" customHeight="1">
      <c r="A1564" s="565"/>
      <c r="B1564" s="566"/>
      <c r="C1564" s="566"/>
      <c r="D1564" s="566"/>
    </row>
    <row r="1565" spans="1:4" s="8" customFormat="1" ht="12.75" customHeight="1">
      <c r="A1565" s="571" t="s">
        <v>897</v>
      </c>
      <c r="B1565" s="561"/>
      <c r="C1565" s="561">
        <f>SUM(C1566:C1571)</f>
        <v>-196526</v>
      </c>
      <c r="D1565" s="561">
        <f>SUM(D1566:D1571)</f>
        <v>-106167</v>
      </c>
    </row>
    <row r="1566" spans="1:4" s="8" customFormat="1" ht="12.75" customHeight="1">
      <c r="A1566" s="564" t="s">
        <v>898</v>
      </c>
      <c r="B1566" s="566"/>
      <c r="C1566" s="566">
        <v>-116789</v>
      </c>
      <c r="D1566" s="566">
        <v>-51541</v>
      </c>
    </row>
    <row r="1567" spans="1:4" s="8" customFormat="1" ht="12.75" customHeight="1">
      <c r="A1567" s="565" t="s">
        <v>899</v>
      </c>
      <c r="B1567" s="566"/>
      <c r="C1567" s="566">
        <v>-22524</v>
      </c>
      <c r="D1567" s="566">
        <v>-8024</v>
      </c>
    </row>
    <row r="1568" spans="1:4" s="8" customFormat="1" ht="12.75" customHeight="1">
      <c r="A1568" s="564" t="s">
        <v>169</v>
      </c>
      <c r="B1568" s="566"/>
      <c r="C1568" s="566">
        <v>-2400</v>
      </c>
      <c r="D1568" s="566">
        <v>-11091</v>
      </c>
    </row>
    <row r="1569" spans="1:4" s="8" customFormat="1" ht="12.75" customHeight="1">
      <c r="A1569" s="564" t="s">
        <v>900</v>
      </c>
      <c r="B1569" s="566"/>
      <c r="C1569" s="566">
        <v>-41220</v>
      </c>
      <c r="D1569" s="566">
        <v>-25504</v>
      </c>
    </row>
    <row r="1570" spans="1:4" s="8" customFormat="1" ht="12.75" customHeight="1">
      <c r="A1570" s="564" t="s">
        <v>466</v>
      </c>
      <c r="B1570" s="566"/>
      <c r="C1570" s="566">
        <v>-5384</v>
      </c>
      <c r="D1570" s="566">
        <v>-3782</v>
      </c>
    </row>
    <row r="1571" spans="1:4" s="8" customFormat="1" ht="12.75" customHeight="1">
      <c r="A1571" s="564" t="s">
        <v>170</v>
      </c>
      <c r="B1571" s="566"/>
      <c r="C1571" s="566">
        <v>-8209</v>
      </c>
      <c r="D1571" s="566">
        <v>-6225</v>
      </c>
    </row>
    <row r="1572" spans="1:4" s="8" customFormat="1" ht="12.75" customHeight="1">
      <c r="A1572" s="564"/>
      <c r="B1572" s="562"/>
      <c r="C1572" s="562"/>
      <c r="D1572" s="566"/>
    </row>
    <row r="1573" spans="1:4" s="8" customFormat="1" ht="12.75" customHeight="1">
      <c r="A1573" s="570" t="s">
        <v>901</v>
      </c>
      <c r="B1573" s="561"/>
      <c r="C1573" s="561"/>
      <c r="D1573" s="561"/>
    </row>
    <row r="1574" spans="1:4" s="8" customFormat="1" ht="12.75" customHeight="1">
      <c r="A1574" s="572" t="s">
        <v>902</v>
      </c>
      <c r="B1574" s="561"/>
      <c r="C1574" s="561">
        <f>SUM(C1575:C1577)</f>
        <v>-15780</v>
      </c>
      <c r="D1574" s="561">
        <f>SUM(D1575:D1577)</f>
        <v>-29949</v>
      </c>
    </row>
    <row r="1575" spans="1:4" s="8" customFormat="1" ht="12.75" customHeight="1">
      <c r="A1575" s="564" t="s">
        <v>903</v>
      </c>
      <c r="B1575" s="566"/>
      <c r="C1575" s="566">
        <v>-6285</v>
      </c>
      <c r="D1575" s="566">
        <v>-22942</v>
      </c>
    </row>
    <row r="1576" spans="1:4" s="8" customFormat="1" ht="12.75" customHeight="1">
      <c r="A1576" s="564" t="s">
        <v>904</v>
      </c>
      <c r="B1576" s="566"/>
      <c r="C1576" s="566">
        <v>-9428</v>
      </c>
      <c r="D1576" s="566">
        <v>-6913</v>
      </c>
    </row>
    <row r="1577" spans="1:4" s="8" customFormat="1" ht="12.75" customHeight="1">
      <c r="A1577" s="564" t="s">
        <v>905</v>
      </c>
      <c r="B1577" s="566"/>
      <c r="C1577" s="566">
        <v>-67</v>
      </c>
      <c r="D1577" s="566">
        <v>-94</v>
      </c>
    </row>
    <row r="1578" spans="1:4" s="8" customFormat="1" ht="12.75" customHeight="1">
      <c r="A1578" s="558"/>
      <c r="B1578" s="566"/>
      <c r="C1578" s="566"/>
      <c r="D1578" s="566"/>
    </row>
    <row r="1579" spans="1:4" s="8" customFormat="1" ht="12.75" customHeight="1">
      <c r="A1579" s="573" t="s">
        <v>906</v>
      </c>
      <c r="B1579" s="561"/>
      <c r="C1579" s="561"/>
      <c r="D1579" s="561"/>
    </row>
    <row r="1580" spans="1:4" s="8" customFormat="1" ht="12.75" customHeight="1">
      <c r="A1580" s="574" t="s">
        <v>907</v>
      </c>
      <c r="B1580" s="566"/>
      <c r="C1580" s="566">
        <v>73</v>
      </c>
      <c r="D1580" s="566">
        <v>27</v>
      </c>
    </row>
    <row r="1581" spans="1:4" s="8" customFormat="1" ht="12.75" customHeight="1">
      <c r="A1581" s="558"/>
      <c r="B1581" s="566"/>
      <c r="C1581" s="566"/>
      <c r="D1581" s="566"/>
    </row>
    <row r="1582" spans="1:4" s="8" customFormat="1" ht="12.75" customHeight="1">
      <c r="A1582" s="556" t="s">
        <v>908</v>
      </c>
      <c r="B1582" s="566"/>
      <c r="C1582" s="566"/>
      <c r="D1582" s="566"/>
    </row>
    <row r="1583" spans="1:4" s="8" customFormat="1" ht="12.75" customHeight="1">
      <c r="A1583" s="574" t="s">
        <v>909</v>
      </c>
      <c r="B1583" s="561"/>
      <c r="C1583" s="561">
        <v>36319</v>
      </c>
      <c r="D1583" s="561">
        <v>8257</v>
      </c>
    </row>
    <row r="1584" spans="1:4" s="8" customFormat="1" ht="12.75" customHeight="1">
      <c r="A1584" s="574" t="s">
        <v>910</v>
      </c>
      <c r="B1584" s="575"/>
      <c r="C1584" s="575">
        <v>0.3</v>
      </c>
      <c r="D1584" s="575">
        <v>0.34</v>
      </c>
    </row>
    <row r="1585" spans="1:4" s="8" customFormat="1" ht="12.75" customHeight="1">
      <c r="A1585" s="558"/>
      <c r="B1585" s="561"/>
      <c r="C1585" s="561"/>
      <c r="D1585" s="561"/>
    </row>
    <row r="1586" spans="1:4" s="8" customFormat="1" ht="12.75" customHeight="1">
      <c r="A1586" s="576" t="s">
        <v>911</v>
      </c>
      <c r="B1586" s="577"/>
      <c r="C1586" s="577">
        <f>SUM(C1588+C1594)</f>
        <v>121064</v>
      </c>
      <c r="D1586" s="577">
        <f>SUM(D1588+D1594)</f>
        <v>24284</v>
      </c>
    </row>
    <row r="1587" spans="1:4" s="8" customFormat="1" ht="12.75" customHeight="1">
      <c r="A1587" s="570"/>
      <c r="B1587" s="566"/>
      <c r="C1587" s="566"/>
      <c r="D1587" s="578"/>
    </row>
    <row r="1588" spans="1:4" s="8" customFormat="1" ht="12.75" customHeight="1">
      <c r="A1588" s="572" t="s">
        <v>912</v>
      </c>
      <c r="B1588" s="579"/>
      <c r="C1588" s="579">
        <f>SUM(C1590:C1592)</f>
        <v>184710</v>
      </c>
      <c r="D1588" s="579">
        <f>SUM(D1590:D1592)</f>
        <v>105229</v>
      </c>
    </row>
    <row r="1589" spans="1:4" s="8" customFormat="1" ht="12.75" customHeight="1">
      <c r="A1589" s="580" t="s">
        <v>913</v>
      </c>
      <c r="B1589" s="566"/>
      <c r="C1589" s="566"/>
      <c r="D1589" s="578"/>
    </row>
    <row r="1590" spans="1:4" s="8" customFormat="1" ht="12.75" customHeight="1">
      <c r="A1590" s="564" t="s">
        <v>914</v>
      </c>
      <c r="B1590" s="566"/>
      <c r="C1590" s="566">
        <v>139523</v>
      </c>
      <c r="D1590" s="578">
        <v>52829</v>
      </c>
    </row>
    <row r="1591" spans="1:4" s="8" customFormat="1" ht="12.75" customHeight="1">
      <c r="A1591" s="564" t="s">
        <v>915</v>
      </c>
      <c r="B1591" s="566"/>
      <c r="C1591" s="566">
        <v>42775</v>
      </c>
      <c r="D1591" s="578">
        <v>41075</v>
      </c>
    </row>
    <row r="1592" spans="1:4" s="8" customFormat="1" ht="12.75" customHeight="1">
      <c r="A1592" s="564" t="s">
        <v>916</v>
      </c>
      <c r="B1592" s="566"/>
      <c r="C1592" s="566">
        <v>2412</v>
      </c>
      <c r="D1592" s="581">
        <v>11325</v>
      </c>
    </row>
    <row r="1593" spans="1:4" s="8" customFormat="1" ht="12.75" customHeight="1">
      <c r="A1593" s="558"/>
      <c r="B1593" s="582"/>
      <c r="C1593" s="582"/>
      <c r="D1593" s="582"/>
    </row>
    <row r="1594" spans="1:4" s="8" customFormat="1" ht="12.75" customHeight="1">
      <c r="A1594" s="583" t="s">
        <v>917</v>
      </c>
      <c r="B1594" s="584"/>
      <c r="C1594" s="584">
        <f>SUM(C1596:C1603)</f>
        <v>-63646</v>
      </c>
      <c r="D1594" s="584">
        <f>SUM(D1596:D1602)</f>
        <v>-80945</v>
      </c>
    </row>
    <row r="1595" spans="1:4" s="8" customFormat="1" ht="12.75" customHeight="1">
      <c r="A1595" s="580" t="s">
        <v>918</v>
      </c>
      <c r="B1595" s="584"/>
      <c r="C1595" s="584"/>
      <c r="D1595" s="585"/>
    </row>
    <row r="1596" spans="1:4" s="8" customFormat="1" ht="12.75" customHeight="1">
      <c r="A1596" s="586" t="s">
        <v>919</v>
      </c>
      <c r="B1596" s="587"/>
      <c r="C1596" s="587">
        <v>-37400</v>
      </c>
      <c r="D1596" s="587">
        <v>-43092</v>
      </c>
    </row>
    <row r="1597" spans="1:4" s="8" customFormat="1" ht="12.75" customHeight="1">
      <c r="A1597" s="586" t="s">
        <v>920</v>
      </c>
      <c r="B1597" s="587"/>
      <c r="C1597" s="587">
        <v>-41</v>
      </c>
      <c r="D1597" s="587">
        <v>-5399</v>
      </c>
    </row>
    <row r="1598" spans="1:4" s="8" customFormat="1" ht="12.75" customHeight="1">
      <c r="A1598" s="588" t="s">
        <v>921</v>
      </c>
      <c r="B1598" s="587"/>
      <c r="C1598" s="587">
        <v>-550</v>
      </c>
      <c r="D1598" s="587">
        <v>-609</v>
      </c>
    </row>
    <row r="1599" spans="1:4" s="8" customFormat="1" ht="12.75" customHeight="1">
      <c r="A1599" s="589" t="s">
        <v>922</v>
      </c>
      <c r="B1599" s="587"/>
      <c r="C1599" s="587">
        <v>-13339</v>
      </c>
      <c r="D1599" s="587">
        <v>-17203</v>
      </c>
    </row>
    <row r="1600" spans="1:4" ht="12.75" customHeight="1">
      <c r="A1600" s="589" t="s">
        <v>923</v>
      </c>
      <c r="B1600" s="587"/>
      <c r="C1600" s="587">
        <v>-6234</v>
      </c>
      <c r="D1600" s="587">
        <v>-3171</v>
      </c>
    </row>
    <row r="1601" spans="1:4" ht="12.75" customHeight="1">
      <c r="A1601" s="589" t="s">
        <v>373</v>
      </c>
      <c r="B1601" s="587"/>
      <c r="C1601" s="587">
        <v>-5400</v>
      </c>
      <c r="D1601" s="587">
        <v>0</v>
      </c>
    </row>
    <row r="1602" spans="1:4" ht="12.75" customHeight="1">
      <c r="A1602" s="589" t="s">
        <v>924</v>
      </c>
      <c r="B1602" s="587"/>
      <c r="C1602" s="587">
        <v>0</v>
      </c>
      <c r="D1602" s="587">
        <v>-11471</v>
      </c>
    </row>
    <row r="1603" spans="1:4" ht="12.75" customHeight="1">
      <c r="A1603" s="589" t="s">
        <v>374</v>
      </c>
      <c r="B1603" s="587"/>
      <c r="C1603" s="587">
        <v>-682</v>
      </c>
      <c r="D1603" s="587">
        <v>0</v>
      </c>
    </row>
    <row r="1604" spans="1:4" ht="8.25" customHeight="1">
      <c r="A1604" s="34"/>
      <c r="B1604" s="40"/>
      <c r="C1604" s="327"/>
      <c r="D1604" s="327"/>
    </row>
    <row r="1605" spans="1:4" ht="12.75" customHeight="1">
      <c r="A1605" s="563" t="s">
        <v>171</v>
      </c>
      <c r="B1605" s="40"/>
      <c r="C1605" s="512">
        <v>44654</v>
      </c>
      <c r="D1605" s="327">
        <v>46563</v>
      </c>
    </row>
    <row r="1606" spans="1:4" ht="12.75" customHeight="1">
      <c r="A1606" s="589" t="s">
        <v>172</v>
      </c>
      <c r="B1606" s="40"/>
      <c r="C1606" s="512"/>
      <c r="D1606" s="327"/>
    </row>
    <row r="1607" spans="1:4" ht="12.75" customHeight="1">
      <c r="A1607" s="589" t="s">
        <v>173</v>
      </c>
      <c r="B1607" s="40"/>
      <c r="C1607" s="634">
        <v>44090</v>
      </c>
      <c r="D1607" s="532">
        <v>46422</v>
      </c>
    </row>
    <row r="1608" spans="1:4" s="8" customFormat="1" ht="12.75" customHeight="1">
      <c r="A1608" s="589" t="s">
        <v>174</v>
      </c>
      <c r="B1608" s="40"/>
      <c r="C1608" s="532">
        <v>564</v>
      </c>
      <c r="D1608" s="532">
        <v>141</v>
      </c>
    </row>
    <row r="1609" spans="1:4" s="8" customFormat="1" ht="12.75" customHeight="1">
      <c r="A1609" s="589"/>
      <c r="B1609" s="40"/>
      <c r="C1609" s="327"/>
      <c r="D1609" s="327"/>
    </row>
    <row r="1610" spans="1:4" s="8" customFormat="1" ht="12.75" customHeight="1">
      <c r="A1610" s="589"/>
      <c r="B1610" s="40"/>
      <c r="C1610" s="327"/>
      <c r="D1610" s="327"/>
    </row>
    <row r="1611" spans="1:4" s="8" customFormat="1" ht="6" customHeight="1">
      <c r="A1611" s="589"/>
      <c r="B1611" s="40"/>
      <c r="C1611" s="327"/>
      <c r="D1611" s="327"/>
    </row>
    <row r="1612" spans="1:4" s="41" customFormat="1" ht="12.75" customHeight="1" thickBot="1">
      <c r="A1612" s="6" t="s">
        <v>558</v>
      </c>
      <c r="B1612" s="33"/>
      <c r="C1612" s="328"/>
      <c r="D1612" s="329"/>
    </row>
    <row r="1613" spans="1:4" ht="33.75" customHeight="1" thickTop="1">
      <c r="A1613" s="361" t="s">
        <v>559</v>
      </c>
      <c r="B1613" s="21"/>
      <c r="C1613" s="427" t="s">
        <v>5</v>
      </c>
      <c r="D1613" s="290" t="s">
        <v>4</v>
      </c>
    </row>
    <row r="1614" spans="1:4" ht="14.25" customHeight="1">
      <c r="A1614" s="20" t="s">
        <v>560</v>
      </c>
      <c r="B1614" s="37"/>
      <c r="C1614" s="480">
        <v>0</v>
      </c>
      <c r="D1614" s="377">
        <v>0</v>
      </c>
    </row>
    <row r="1615" spans="1:4" ht="12.75" customHeight="1" thickBot="1">
      <c r="A1615" s="26" t="s">
        <v>561</v>
      </c>
      <c r="B1615" s="42"/>
      <c r="C1615" s="481">
        <v>0</v>
      </c>
      <c r="D1615" s="397">
        <v>0</v>
      </c>
    </row>
    <row r="1616" spans="1:4" ht="7.5" customHeight="1" thickTop="1">
      <c r="A1616" s="27"/>
      <c r="B1616" s="40"/>
      <c r="C1616" s="333"/>
      <c r="D1616" s="333"/>
    </row>
    <row r="1617" spans="1:4" s="48" customFormat="1" ht="10.5" customHeight="1">
      <c r="A1617" s="6" t="s">
        <v>562</v>
      </c>
      <c r="B1617" s="33"/>
      <c r="C1617" s="334"/>
      <c r="D1617" s="335"/>
    </row>
    <row r="1618" spans="1:4" ht="6.75" customHeight="1">
      <c r="A1618" s="519"/>
      <c r="B1618" s="523"/>
      <c r="C1618" s="591"/>
      <c r="D1618" s="592"/>
    </row>
    <row r="1619" spans="1:4" ht="14.25" customHeight="1">
      <c r="A1619" s="513" t="s">
        <v>575</v>
      </c>
      <c r="B1619" s="514"/>
      <c r="C1619" s="593"/>
      <c r="D1619" s="594"/>
    </row>
    <row r="1620" spans="1:4" ht="14.25" customHeight="1">
      <c r="A1620" s="595"/>
      <c r="B1620" s="514"/>
      <c r="C1620" s="593"/>
      <c r="D1620" s="594"/>
    </row>
    <row r="1621" spans="1:4" ht="14.25" customHeight="1">
      <c r="A1621" s="513"/>
      <c r="B1621" s="514"/>
      <c r="C1621" s="593"/>
      <c r="D1621" s="594"/>
    </row>
    <row r="1622" spans="1:4" ht="14.25" customHeight="1">
      <c r="A1622" s="513"/>
      <c r="B1622" s="514"/>
      <c r="C1622" s="593"/>
      <c r="D1622" s="594"/>
    </row>
    <row r="1623" spans="1:4" ht="14.25" customHeight="1">
      <c r="A1623" s="513"/>
      <c r="B1623" s="514"/>
      <c r="C1623" s="593"/>
      <c r="D1623" s="594"/>
    </row>
    <row r="1624" spans="1:4" ht="12" customHeight="1">
      <c r="A1624" s="513"/>
      <c r="B1624" s="514"/>
      <c r="C1624" s="617" t="s">
        <v>838</v>
      </c>
      <c r="D1624" s="618" t="s">
        <v>861</v>
      </c>
    </row>
    <row r="1625" spans="1:4" ht="14.25" customHeight="1">
      <c r="A1625" s="513" t="s">
        <v>576</v>
      </c>
      <c r="B1625" s="514"/>
      <c r="C1625" s="596">
        <v>96526</v>
      </c>
      <c r="D1625" s="597">
        <v>101573</v>
      </c>
    </row>
    <row r="1626" spans="1:4" ht="8.25" customHeight="1">
      <c r="A1626" s="513"/>
      <c r="B1626" s="514"/>
      <c r="C1626" s="593"/>
      <c r="D1626" s="594"/>
    </row>
    <row r="1627" spans="1:4" ht="14.25" customHeight="1">
      <c r="A1627" s="513" t="s">
        <v>762</v>
      </c>
      <c r="B1627" s="514"/>
      <c r="C1627" s="596">
        <v>13200000</v>
      </c>
      <c r="D1627" s="597">
        <v>13200000</v>
      </c>
    </row>
    <row r="1628" spans="1:4" ht="8.25" customHeight="1">
      <c r="A1628" s="513"/>
      <c r="B1628" s="514"/>
      <c r="C1628" s="593"/>
      <c r="D1628" s="594"/>
    </row>
    <row r="1629" spans="1:4" ht="14.25" customHeight="1">
      <c r="A1629" s="509" t="s">
        <v>577</v>
      </c>
      <c r="B1629" s="598"/>
      <c r="C1629" s="599">
        <f>C1625/C1627*1000</f>
        <v>7.3125757575757575</v>
      </c>
      <c r="D1629" s="599">
        <f>D1625/D1627*1000</f>
        <v>7.694924242424243</v>
      </c>
    </row>
    <row r="1630" spans="1:4" ht="14.25" customHeight="1">
      <c r="A1630" s="513"/>
      <c r="B1630" s="514"/>
      <c r="C1630" s="593"/>
      <c r="D1630" s="594"/>
    </row>
    <row r="1631" spans="1:4" ht="14.25" customHeight="1">
      <c r="A1631" s="595" t="s">
        <v>578</v>
      </c>
      <c r="B1631" s="514"/>
      <c r="C1631" s="593"/>
      <c r="D1631" s="594"/>
    </row>
    <row r="1632" spans="1:4" ht="10.5" customHeight="1">
      <c r="A1632" s="595"/>
      <c r="B1632" s="514"/>
      <c r="C1632" s="593"/>
      <c r="D1632" s="594"/>
    </row>
    <row r="1633" spans="1:4" ht="14.25" customHeight="1">
      <c r="A1633" s="595"/>
      <c r="B1633" s="514"/>
      <c r="C1633" s="593"/>
      <c r="D1633" s="594"/>
    </row>
    <row r="1634" spans="1:4" ht="14.25" customHeight="1">
      <c r="A1634" s="595"/>
      <c r="B1634" s="514"/>
      <c r="C1634" s="593"/>
      <c r="D1634" s="594"/>
    </row>
    <row r="1635" spans="1:4" ht="14.25" customHeight="1">
      <c r="A1635" s="595"/>
      <c r="B1635" s="514"/>
      <c r="C1635" s="593"/>
      <c r="D1635" s="594"/>
    </row>
    <row r="1636" spans="1:4" ht="14.25" customHeight="1">
      <c r="A1636" s="595"/>
      <c r="B1636" s="514"/>
      <c r="C1636" s="593"/>
      <c r="D1636" s="594"/>
    </row>
    <row r="1637" spans="1:4" ht="14.25" customHeight="1">
      <c r="A1637" s="595" t="s">
        <v>579</v>
      </c>
      <c r="B1637" s="514"/>
      <c r="C1637" s="593"/>
      <c r="D1637" s="594"/>
    </row>
    <row r="1638" spans="1:4" ht="14.25" customHeight="1">
      <c r="A1638" s="595"/>
      <c r="B1638" s="514"/>
      <c r="C1638" s="617" t="s">
        <v>838</v>
      </c>
      <c r="D1638" s="618" t="s">
        <v>861</v>
      </c>
    </row>
    <row r="1639" spans="1:4" ht="14.25" customHeight="1">
      <c r="A1639" s="595" t="s">
        <v>853</v>
      </c>
      <c r="B1639" s="514"/>
      <c r="C1639" s="600">
        <v>96526</v>
      </c>
      <c r="D1639" s="597">
        <v>101573</v>
      </c>
    </row>
    <row r="1640" spans="1:4" ht="7.5" customHeight="1">
      <c r="A1640" s="595"/>
      <c r="B1640" s="514"/>
      <c r="C1640" s="593"/>
      <c r="D1640" s="594"/>
    </row>
    <row r="1641" spans="1:4" ht="14.25" customHeight="1">
      <c r="A1641" s="601" t="s">
        <v>580</v>
      </c>
      <c r="B1641" s="514"/>
      <c r="C1641" s="593"/>
      <c r="D1641" s="594"/>
    </row>
    <row r="1642" spans="1:4" ht="14.25" customHeight="1">
      <c r="A1642" s="602" t="s">
        <v>581</v>
      </c>
      <c r="B1642" s="514"/>
      <c r="C1642" s="596">
        <v>15950000</v>
      </c>
      <c r="D1642" s="594">
        <v>13200000</v>
      </c>
    </row>
    <row r="1643" spans="1:4" ht="18" customHeight="1">
      <c r="A1643" s="595" t="s">
        <v>582</v>
      </c>
      <c r="B1643" s="514"/>
      <c r="C1643" s="603">
        <f>C1639/C1642*1000</f>
        <v>6.051786833855799</v>
      </c>
      <c r="D1643" s="603">
        <f>D1639/D1642*1000</f>
        <v>7.694924242424243</v>
      </c>
    </row>
    <row r="1644" spans="1:4" ht="9.75" customHeight="1">
      <c r="A1644" s="595"/>
      <c r="B1644" s="514"/>
      <c r="C1644" s="604"/>
      <c r="D1644" s="603"/>
    </row>
    <row r="1645" spans="1:4" ht="14.25" customHeight="1">
      <c r="A1645" s="605" t="s">
        <v>823</v>
      </c>
      <c r="B1645" s="514"/>
      <c r="C1645" s="593"/>
      <c r="D1645" s="594"/>
    </row>
    <row r="1646" spans="1:4" ht="14.25" customHeight="1">
      <c r="A1646" s="595"/>
      <c r="B1646" s="514"/>
      <c r="C1646" s="593"/>
      <c r="D1646" s="594"/>
    </row>
    <row r="1647" spans="1:4" ht="18" customHeight="1">
      <c r="A1647" s="602" t="s">
        <v>824</v>
      </c>
      <c r="B1647" s="514"/>
      <c r="C1647" s="593"/>
      <c r="D1647" s="594"/>
    </row>
    <row r="1648" spans="1:4" ht="14.25" customHeight="1">
      <c r="A1648" s="595" t="s">
        <v>583</v>
      </c>
      <c r="B1648" s="514"/>
      <c r="C1648" s="646">
        <v>66745</v>
      </c>
      <c r="D1648" s="594"/>
    </row>
    <row r="1649" spans="1:4" ht="14.25" customHeight="1">
      <c r="A1649" s="595" t="s">
        <v>584</v>
      </c>
      <c r="B1649" s="514"/>
      <c r="C1649" s="646">
        <v>10000</v>
      </c>
      <c r="D1649" s="594"/>
    </row>
    <row r="1650" spans="1:4" ht="14.25" customHeight="1">
      <c r="A1650" s="595" t="s">
        <v>585</v>
      </c>
      <c r="B1650" s="514"/>
      <c r="C1650" s="646">
        <v>19800</v>
      </c>
      <c r="D1650" s="594"/>
    </row>
    <row r="1651" spans="1:4" ht="14.25" customHeight="1">
      <c r="A1651" s="595" t="s">
        <v>586</v>
      </c>
      <c r="B1651" s="514"/>
      <c r="C1651" s="646">
        <v>4804</v>
      </c>
      <c r="D1651" s="594"/>
    </row>
    <row r="1652" spans="1:4" ht="12.75" customHeight="1">
      <c r="A1652" s="595" t="s">
        <v>587</v>
      </c>
      <c r="B1652" s="606"/>
      <c r="C1652" s="647">
        <v>224</v>
      </c>
      <c r="D1652" s="607"/>
    </row>
    <row r="1653" spans="1:4" ht="6.75" customHeight="1">
      <c r="A1653" s="608"/>
      <c r="B1653" s="606"/>
      <c r="C1653" s="609"/>
      <c r="D1653" s="607"/>
    </row>
    <row r="1654" spans="1:4" ht="12.75" customHeight="1">
      <c r="A1654" s="605" t="s">
        <v>825</v>
      </c>
      <c r="B1654" s="514"/>
      <c r="C1654" s="593"/>
      <c r="D1654" s="607"/>
    </row>
    <row r="1655" spans="1:4" ht="12.75" customHeight="1">
      <c r="A1655" s="595"/>
      <c r="B1655" s="514"/>
      <c r="C1655" s="593"/>
      <c r="D1655" s="607"/>
    </row>
    <row r="1656" spans="1:4" ht="12.75" customHeight="1">
      <c r="A1656" s="602" t="s">
        <v>376</v>
      </c>
      <c r="B1656" s="514"/>
      <c r="C1656" s="593"/>
      <c r="D1656" s="607"/>
    </row>
    <row r="1657" spans="1:4" ht="12.75" customHeight="1">
      <c r="A1657" s="602"/>
      <c r="B1657" s="514"/>
      <c r="C1657" s="593"/>
      <c r="D1657" s="607"/>
    </row>
    <row r="1658" spans="1:4" ht="12.75" customHeight="1">
      <c r="A1658" s="595" t="s">
        <v>583</v>
      </c>
      <c r="B1658" s="648" t="s">
        <v>375</v>
      </c>
      <c r="C1658" s="646">
        <v>57631</v>
      </c>
      <c r="D1658" s="607"/>
    </row>
    <row r="1659" spans="1:4" ht="12.75" customHeight="1">
      <c r="A1659" s="595" t="s">
        <v>584</v>
      </c>
      <c r="B1659" s="648"/>
      <c r="C1659" s="646">
        <v>10000</v>
      </c>
      <c r="D1659" s="607"/>
    </row>
    <row r="1660" spans="1:4" ht="12.75" customHeight="1">
      <c r="A1660" s="595" t="s">
        <v>585</v>
      </c>
      <c r="B1660" s="648" t="s">
        <v>224</v>
      </c>
      <c r="C1660" s="646">
        <v>23925</v>
      </c>
      <c r="D1660" s="607"/>
    </row>
    <row r="1661" spans="1:4" ht="12.75" customHeight="1">
      <c r="A1661" s="595" t="s">
        <v>586</v>
      </c>
      <c r="B1661" s="514"/>
      <c r="C1661" s="646">
        <v>4749</v>
      </c>
      <c r="D1661" s="607"/>
    </row>
    <row r="1662" spans="1:4" ht="12.75" customHeight="1">
      <c r="A1662" s="595" t="s">
        <v>587</v>
      </c>
      <c r="B1662" s="606"/>
      <c r="C1662" s="647">
        <v>221</v>
      </c>
      <c r="D1662" s="333"/>
    </row>
    <row r="1663" spans="1:4" ht="6.75" customHeight="1">
      <c r="A1663" s="27"/>
      <c r="B1663" s="40"/>
      <c r="C1663" s="333"/>
      <c r="D1663" s="333"/>
    </row>
    <row r="1664" spans="1:4" ht="12" customHeight="1">
      <c r="A1664" s="27"/>
      <c r="B1664" s="40"/>
      <c r="C1664" s="333"/>
      <c r="D1664" s="333"/>
    </row>
    <row r="1665" spans="1:4" ht="12" customHeight="1">
      <c r="A1665" s="27"/>
      <c r="B1665" s="40"/>
      <c r="C1665" s="333"/>
      <c r="D1665" s="333"/>
    </row>
    <row r="1666" spans="1:4" ht="40.5" customHeight="1">
      <c r="A1666" s="94" t="s">
        <v>563</v>
      </c>
      <c r="B1666" s="49"/>
      <c r="C1666" s="332"/>
      <c r="D1666" s="332"/>
    </row>
    <row r="1667" spans="1:4" ht="8.25" customHeight="1">
      <c r="A1667" s="163"/>
      <c r="B1667" s="164"/>
      <c r="C1667" s="336"/>
      <c r="D1667" s="336"/>
    </row>
    <row r="1668" spans="1:4" ht="18" customHeight="1">
      <c r="A1668" s="619" t="s">
        <v>564</v>
      </c>
      <c r="B1668" s="40"/>
      <c r="C1668" s="333"/>
      <c r="D1668" s="333"/>
    </row>
    <row r="1669" spans="1:4" ht="14.25" customHeight="1">
      <c r="A1669" s="27"/>
      <c r="B1669" s="40"/>
      <c r="C1669" s="333"/>
      <c r="D1669" s="333"/>
    </row>
    <row r="1670" spans="1:4" ht="12.75" customHeight="1">
      <c r="A1670" s="620" t="s">
        <v>826</v>
      </c>
      <c r="B1670" s="40"/>
      <c r="C1670" s="333"/>
      <c r="D1670" s="333"/>
    </row>
    <row r="1671" spans="1:4" ht="12.75" customHeight="1">
      <c r="A1671" s="27"/>
      <c r="B1671" s="40"/>
      <c r="C1671" s="333"/>
      <c r="D1671" s="333"/>
    </row>
    <row r="1672" spans="1:4" ht="12.75" customHeight="1" thickBot="1">
      <c r="A1672" s="27"/>
      <c r="B1672" s="538"/>
      <c r="C1672" s="618" t="s">
        <v>838</v>
      </c>
      <c r="D1672" s="618" t="s">
        <v>861</v>
      </c>
    </row>
    <row r="1673" spans="1:256" ht="15" customHeight="1" thickTop="1">
      <c r="A1673" s="27"/>
      <c r="B1673" s="40"/>
      <c r="C1673" s="333"/>
      <c r="D1673" s="333"/>
      <c r="E1673" s="156"/>
      <c r="F1673" s="157"/>
      <c r="G1673" s="158"/>
      <c r="H1673" s="158"/>
      <c r="I1673" s="154"/>
      <c r="J1673" s="112"/>
      <c r="K1673" s="63"/>
      <c r="L1673" s="64"/>
      <c r="M1673" s="154"/>
      <c r="N1673" s="112"/>
      <c r="O1673" s="63"/>
      <c r="P1673" s="64"/>
      <c r="Q1673" s="154"/>
      <c r="R1673" s="112"/>
      <c r="S1673" s="63"/>
      <c r="T1673" s="64"/>
      <c r="U1673" s="154"/>
      <c r="V1673" s="112"/>
      <c r="W1673" s="63"/>
      <c r="X1673" s="64"/>
      <c r="Y1673" s="154"/>
      <c r="Z1673" s="112"/>
      <c r="AA1673" s="63"/>
      <c r="AB1673" s="64"/>
      <c r="AC1673" s="154"/>
      <c r="AD1673" s="112"/>
      <c r="AE1673" s="63"/>
      <c r="AF1673" s="64"/>
      <c r="AG1673" s="154"/>
      <c r="AH1673" s="112"/>
      <c r="AI1673" s="63"/>
      <c r="AJ1673" s="64"/>
      <c r="AK1673" s="154"/>
      <c r="AL1673" s="112"/>
      <c r="AM1673" s="63"/>
      <c r="AN1673" s="64"/>
      <c r="AO1673" s="154"/>
      <c r="AP1673" s="112"/>
      <c r="AQ1673" s="63"/>
      <c r="AR1673" s="64"/>
      <c r="AS1673" s="154"/>
      <c r="AT1673" s="112"/>
      <c r="AU1673" s="63"/>
      <c r="AV1673" s="64"/>
      <c r="AW1673" s="154"/>
      <c r="AX1673" s="112"/>
      <c r="AY1673" s="63"/>
      <c r="AZ1673" s="64"/>
      <c r="BA1673" s="154"/>
      <c r="BB1673" s="112"/>
      <c r="BC1673" s="63"/>
      <c r="BD1673" s="64"/>
      <c r="BE1673" s="154"/>
      <c r="BF1673" s="112"/>
      <c r="BG1673" s="63"/>
      <c r="BH1673" s="64"/>
      <c r="BI1673" s="154"/>
      <c r="BJ1673" s="112"/>
      <c r="BK1673" s="63"/>
      <c r="BL1673" s="64"/>
      <c r="BM1673" s="154"/>
      <c r="BN1673" s="112"/>
      <c r="BO1673" s="63"/>
      <c r="BP1673" s="64"/>
      <c r="BQ1673" s="154"/>
      <c r="BR1673" s="112"/>
      <c r="BS1673" s="63"/>
      <c r="BT1673" s="64"/>
      <c r="BU1673" s="154"/>
      <c r="BV1673" s="112"/>
      <c r="BW1673" s="63"/>
      <c r="BX1673" s="64"/>
      <c r="BY1673" s="154"/>
      <c r="BZ1673" s="112"/>
      <c r="CA1673" s="63"/>
      <c r="CB1673" s="64"/>
      <c r="CC1673" s="154"/>
      <c r="CD1673" s="112"/>
      <c r="CE1673" s="63"/>
      <c r="CF1673" s="64"/>
      <c r="CG1673" s="154"/>
      <c r="CH1673" s="112"/>
      <c r="CI1673" s="63"/>
      <c r="CJ1673" s="64"/>
      <c r="CK1673" s="154"/>
      <c r="CL1673" s="112"/>
      <c r="CM1673" s="63"/>
      <c r="CN1673" s="64"/>
      <c r="CO1673" s="154"/>
      <c r="CP1673" s="112"/>
      <c r="CQ1673" s="63"/>
      <c r="CR1673" s="64"/>
      <c r="CS1673" s="154"/>
      <c r="CT1673" s="112"/>
      <c r="CU1673" s="63"/>
      <c r="CV1673" s="64"/>
      <c r="CW1673" s="154"/>
      <c r="CX1673" s="112"/>
      <c r="CY1673" s="63"/>
      <c r="CZ1673" s="64"/>
      <c r="DA1673" s="154"/>
      <c r="DB1673" s="112"/>
      <c r="DC1673" s="63"/>
      <c r="DD1673" s="64"/>
      <c r="DE1673" s="154"/>
      <c r="DF1673" s="112"/>
      <c r="DG1673" s="63"/>
      <c r="DH1673" s="64"/>
      <c r="DI1673" s="154"/>
      <c r="DJ1673" s="112"/>
      <c r="DK1673" s="63"/>
      <c r="DL1673" s="64"/>
      <c r="DM1673" s="154"/>
      <c r="DN1673" s="112"/>
      <c r="DO1673" s="63"/>
      <c r="DP1673" s="64"/>
      <c r="DQ1673" s="154"/>
      <c r="DR1673" s="112"/>
      <c r="DS1673" s="63"/>
      <c r="DT1673" s="64"/>
      <c r="DU1673" s="154"/>
      <c r="DV1673" s="112"/>
      <c r="DW1673" s="63"/>
      <c r="DX1673" s="64"/>
      <c r="DY1673" s="154"/>
      <c r="DZ1673" s="112"/>
      <c r="EA1673" s="63"/>
      <c r="EB1673" s="64"/>
      <c r="EC1673" s="154"/>
      <c r="ED1673" s="112"/>
      <c r="EE1673" s="63"/>
      <c r="EF1673" s="64"/>
      <c r="EG1673" s="154"/>
      <c r="EH1673" s="112"/>
      <c r="EI1673" s="63"/>
      <c r="EJ1673" s="64"/>
      <c r="EK1673" s="154"/>
      <c r="EL1673" s="112"/>
      <c r="EM1673" s="63"/>
      <c r="EN1673" s="64"/>
      <c r="EO1673" s="154"/>
      <c r="EP1673" s="112"/>
      <c r="EQ1673" s="63"/>
      <c r="ER1673" s="64"/>
      <c r="ES1673" s="154"/>
      <c r="ET1673" s="112"/>
      <c r="EU1673" s="63"/>
      <c r="EV1673" s="64"/>
      <c r="EW1673" s="154"/>
      <c r="EX1673" s="112"/>
      <c r="EY1673" s="63"/>
      <c r="EZ1673" s="64"/>
      <c r="FA1673" s="154"/>
      <c r="FB1673" s="112"/>
      <c r="FC1673" s="63"/>
      <c r="FD1673" s="64"/>
      <c r="FE1673" s="154"/>
      <c r="FF1673" s="112"/>
      <c r="FG1673" s="63"/>
      <c r="FH1673" s="64"/>
      <c r="FI1673" s="154"/>
      <c r="FJ1673" s="112"/>
      <c r="FK1673" s="63"/>
      <c r="FL1673" s="64"/>
      <c r="FM1673" s="154"/>
      <c r="FN1673" s="112"/>
      <c r="FO1673" s="63"/>
      <c r="FP1673" s="64"/>
      <c r="FQ1673" s="154"/>
      <c r="FR1673" s="112"/>
      <c r="FS1673" s="63"/>
      <c r="FT1673" s="64"/>
      <c r="FU1673" s="154"/>
      <c r="FV1673" s="112"/>
      <c r="FW1673" s="63"/>
      <c r="FX1673" s="64"/>
      <c r="FY1673" s="154"/>
      <c r="FZ1673" s="112"/>
      <c r="GA1673" s="63"/>
      <c r="GB1673" s="64"/>
      <c r="GC1673" s="154"/>
      <c r="GD1673" s="112"/>
      <c r="GE1673" s="63"/>
      <c r="GF1673" s="64"/>
      <c r="GG1673" s="154"/>
      <c r="GH1673" s="112"/>
      <c r="GI1673" s="63"/>
      <c r="GJ1673" s="64"/>
      <c r="GK1673" s="154"/>
      <c r="GL1673" s="112"/>
      <c r="GM1673" s="63"/>
      <c r="GN1673" s="64"/>
      <c r="GO1673" s="154"/>
      <c r="GP1673" s="112"/>
      <c r="GQ1673" s="63"/>
      <c r="GR1673" s="64"/>
      <c r="GS1673" s="154"/>
      <c r="GT1673" s="112"/>
      <c r="GU1673" s="63"/>
      <c r="GV1673" s="64"/>
      <c r="GW1673" s="154"/>
      <c r="GX1673" s="112"/>
      <c r="GY1673" s="63"/>
      <c r="GZ1673" s="64"/>
      <c r="HA1673" s="154"/>
      <c r="HB1673" s="112"/>
      <c r="HC1673" s="63"/>
      <c r="HD1673" s="64"/>
      <c r="HE1673" s="154"/>
      <c r="HF1673" s="112"/>
      <c r="HG1673" s="63"/>
      <c r="HH1673" s="64"/>
      <c r="HI1673" s="154"/>
      <c r="HJ1673" s="112"/>
      <c r="HK1673" s="63"/>
      <c r="HL1673" s="64"/>
      <c r="HM1673" s="154"/>
      <c r="HN1673" s="112"/>
      <c r="HO1673" s="63"/>
      <c r="HP1673" s="64"/>
      <c r="HQ1673" s="154"/>
      <c r="HR1673" s="112"/>
      <c r="HS1673" s="63"/>
      <c r="HT1673" s="64"/>
      <c r="HU1673" s="154"/>
      <c r="HV1673" s="112"/>
      <c r="HW1673" s="63"/>
      <c r="HX1673" s="64"/>
      <c r="HY1673" s="154"/>
      <c r="HZ1673" s="112"/>
      <c r="IA1673" s="63"/>
      <c r="IB1673" s="64"/>
      <c r="IC1673" s="154"/>
      <c r="ID1673" s="112"/>
      <c r="IE1673" s="63"/>
      <c r="IF1673" s="64"/>
      <c r="IG1673" s="154"/>
      <c r="IH1673" s="112"/>
      <c r="II1673" s="63"/>
      <c r="IJ1673" s="64"/>
      <c r="IK1673" s="154"/>
      <c r="IL1673" s="112"/>
      <c r="IM1673" s="63"/>
      <c r="IN1673" s="64"/>
      <c r="IO1673" s="154"/>
      <c r="IP1673" s="112"/>
      <c r="IQ1673" s="63"/>
      <c r="IR1673" s="64"/>
      <c r="IS1673" s="154"/>
      <c r="IT1673" s="112"/>
      <c r="IU1673" s="63"/>
      <c r="IV1673" s="64"/>
    </row>
    <row r="1674" spans="1:4" s="41" customFormat="1" ht="17.25" customHeight="1">
      <c r="A1674" s="608" t="s">
        <v>827</v>
      </c>
      <c r="B1674" s="40"/>
      <c r="C1674" s="333">
        <v>78500</v>
      </c>
      <c r="D1674" s="333">
        <v>207447</v>
      </c>
    </row>
    <row r="1675" spans="1:4" s="41" customFormat="1" ht="16.5" customHeight="1">
      <c r="A1675" s="608" t="s">
        <v>828</v>
      </c>
      <c r="B1675" s="40"/>
      <c r="C1675" s="621">
        <v>13027</v>
      </c>
      <c r="D1675" s="621">
        <v>7836</v>
      </c>
    </row>
    <row r="1676" spans="1:4" s="41" customFormat="1" ht="11.25" customHeight="1">
      <c r="A1676" s="622" t="s">
        <v>829</v>
      </c>
      <c r="B1676" s="623"/>
      <c r="C1676" s="624">
        <f>SUM(C1674:C1675)</f>
        <v>91527</v>
      </c>
      <c r="D1676" s="624">
        <f>SUM(D1674:D1675)</f>
        <v>215283</v>
      </c>
    </row>
    <row r="1677" spans="1:4" ht="11.25" customHeight="1">
      <c r="A1677" s="27"/>
      <c r="B1677" s="40"/>
      <c r="C1677" s="333"/>
      <c r="D1677" s="333"/>
    </row>
    <row r="1678" spans="1:4" ht="11.25" customHeight="1">
      <c r="A1678" s="620" t="s">
        <v>830</v>
      </c>
      <c r="B1678" s="40"/>
      <c r="C1678" s="333"/>
      <c r="D1678" s="333"/>
    </row>
    <row r="1679" spans="1:4" ht="30" customHeight="1">
      <c r="A1679" s="46"/>
      <c r="B1679" s="93"/>
      <c r="C1679" s="336"/>
      <c r="D1679" s="336"/>
    </row>
    <row r="1680" spans="1:4" ht="12.75" customHeight="1">
      <c r="A1680" s="27"/>
      <c r="B1680" s="40"/>
      <c r="C1680" s="333"/>
      <c r="D1680" s="333"/>
    </row>
    <row r="1681" spans="1:4" ht="12.75" customHeight="1">
      <c r="A1681" s="27"/>
      <c r="B1681" s="40"/>
      <c r="C1681" s="333"/>
      <c r="D1681" s="333"/>
    </row>
    <row r="1682" spans="1:4" ht="12.75" customHeight="1">
      <c r="A1682" s="27"/>
      <c r="B1682" s="40"/>
      <c r="C1682" s="333"/>
      <c r="D1682" s="333"/>
    </row>
    <row r="1683" spans="1:4" ht="12.75" customHeight="1">
      <c r="A1683" s="27"/>
      <c r="B1683" s="40"/>
      <c r="C1683" s="333"/>
      <c r="D1683" s="333"/>
    </row>
    <row r="1684" spans="1:4" ht="12.75">
      <c r="A1684" s="27"/>
      <c r="B1684" s="40"/>
      <c r="C1684" s="333"/>
      <c r="D1684" s="333"/>
    </row>
    <row r="1685" spans="1:4" ht="12.75">
      <c r="A1685" s="27"/>
      <c r="B1685" s="40"/>
      <c r="C1685" s="333"/>
      <c r="D1685" s="333"/>
    </row>
    <row r="1686" spans="1:4" ht="12.75">
      <c r="A1686" s="27"/>
      <c r="B1686" s="40"/>
      <c r="C1686" s="333"/>
      <c r="D1686" s="333"/>
    </row>
    <row r="1687" spans="1:4" ht="12.75">
      <c r="A1687" s="27"/>
      <c r="B1687" s="40"/>
      <c r="C1687" s="333"/>
      <c r="D1687" s="333"/>
    </row>
    <row r="1688" spans="1:4" ht="12.75">
      <c r="A1688" s="27"/>
      <c r="B1688" s="40"/>
      <c r="C1688" s="333"/>
      <c r="D1688" s="333"/>
    </row>
    <row r="1689" spans="1:4" ht="12.75">
      <c r="A1689" s="27"/>
      <c r="B1689" s="40"/>
      <c r="C1689" s="333"/>
      <c r="D1689" s="333"/>
    </row>
    <row r="1721" spans="1:4" ht="15.75">
      <c r="A1721" s="159"/>
      <c r="B1721" s="160"/>
      <c r="C1721" s="337"/>
      <c r="D1721" s="337"/>
    </row>
    <row r="1722" spans="1:4" ht="15.75">
      <c r="A1722" s="159"/>
      <c r="B1722" s="160"/>
      <c r="C1722" s="337"/>
      <c r="D1722" s="337"/>
    </row>
  </sheetData>
  <mergeCells count="1">
    <mergeCell ref="A879:D879"/>
  </mergeCells>
  <printOptions horizontalCentered="1"/>
  <pageMargins left="0.7480314960629921" right="0.7480314960629921" top="0.7874015748031497" bottom="0.5905511811023623" header="0.3937007874015748" footer="0.3937007874015748"/>
  <pageSetup firstPageNumber="17" useFirstPageNumber="1" horizontalDpi="300" verticalDpi="300" orientation="portrait" paperSize="9" r:id="rId3"/>
  <headerFooter alignWithMargins="0">
    <oddHeader>&amp;L&amp;"Times New Roman CE,Pogrubiona\Bank Ochrony Środowiska SA&amp;"Times New Roman CE,Normalny\
&amp;8(nazwa emitenta)&amp;C&amp;"Times New Roman CE,Pogrubiona\  1999&amp;"Times New Roman CE,Normalny\
       &amp;8(rok bieżący)&amp;R&amp;"Times New Roman CE,Pogrubiona\&amp;9w tys. zł</oddHeader>
    <oddFooter>&amp;C&amp;"Times New Roman CE,Normalny\Komisja Papierów Wartościowych i Giełd &amp;R&amp;"Times New Roman CE,Normalny\&amp;P</oddFooter>
  </headerFooter>
  <rowBreaks count="30" manualBreakCount="30">
    <brk id="78" max="65535" man="1"/>
    <brk id="114" max="255" man="1"/>
    <brk id="168" max="3" man="1"/>
    <brk id="192" max="255" man="1"/>
    <brk id="235" max="3" man="1"/>
    <brk id="264" max="255" man="1"/>
    <brk id="312" max="255" man="1"/>
    <brk id="339" max="255" man="1"/>
    <brk id="369" max="3" man="1"/>
    <brk id="472" max="255" man="1"/>
    <brk id="509" max="3" man="1"/>
    <brk id="623" max="255" man="1"/>
    <brk id="624" max="255" man="1"/>
    <brk id="649" max="255" man="1"/>
    <brk id="650" max="255" man="1"/>
    <brk id="697" max="3" man="1"/>
    <brk id="744" max="255" man="1"/>
    <brk id="802" max="255" man="1"/>
    <brk id="803" max="255" man="1"/>
    <brk id="906" max="255" man="1"/>
    <brk id="954" max="255" man="1"/>
    <brk id="996" max="255" man="1"/>
    <brk id="1049" max="255" man="1"/>
    <brk id="1107" max="3" man="1"/>
    <brk id="1319" max="3" man="1"/>
    <brk id="1372" max="3" man="1"/>
    <brk id="1463" max="3" man="1"/>
    <brk id="1507" max="3" man="1"/>
    <brk id="1551" max="3" man="1"/>
    <brk id="1665" max="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2" sqref="I12"/>
    </sheetView>
  </sheetViews>
  <sheetFormatPr defaultColWidth="9.00390625" defaultRowHeight="12.75"/>
  <cols>
    <col min="1" max="1" width="20.625" style="182" customWidth="1"/>
    <col min="2" max="2" width="16.375" style="0" customWidth="1"/>
    <col min="3" max="3" width="12.375" style="0" customWidth="1"/>
    <col min="4" max="4" width="10.75390625" style="0" customWidth="1"/>
    <col min="5" max="5" width="11.25390625" style="0" customWidth="1"/>
    <col min="6" max="6" width="10.625" style="0" customWidth="1"/>
    <col min="7" max="7" width="9.125" style="92" customWidth="1"/>
  </cols>
  <sheetData>
    <row r="1" spans="1:7" ht="13.5" thickTop="1">
      <c r="A1" s="171" t="s">
        <v>33</v>
      </c>
      <c r="B1" s="172"/>
      <c r="C1" s="172"/>
      <c r="D1" s="172"/>
      <c r="E1" s="172"/>
      <c r="F1" s="379"/>
      <c r="G1" s="173"/>
    </row>
    <row r="2" spans="1:7" ht="45.75" thickBot="1">
      <c r="A2" s="174"/>
      <c r="B2" s="175" t="s">
        <v>565</v>
      </c>
      <c r="C2" s="176" t="s">
        <v>566</v>
      </c>
      <c r="D2" s="176" t="s">
        <v>567</v>
      </c>
      <c r="E2" s="176" t="s">
        <v>568</v>
      </c>
      <c r="F2" s="380" t="s">
        <v>569</v>
      </c>
      <c r="G2" s="177" t="s">
        <v>34</v>
      </c>
    </row>
    <row r="3" spans="1:7" ht="22.5">
      <c r="A3" s="178" t="s">
        <v>570</v>
      </c>
      <c r="B3" s="381">
        <v>20505</v>
      </c>
      <c r="C3" s="382">
        <v>0</v>
      </c>
      <c r="D3" s="382">
        <v>20951</v>
      </c>
      <c r="E3" s="382">
        <v>2707</v>
      </c>
      <c r="F3" s="383">
        <v>9037</v>
      </c>
      <c r="G3" s="384">
        <f>SUM(B3:F3)</f>
        <v>53200</v>
      </c>
    </row>
    <row r="4" spans="1:7" ht="12.75">
      <c r="A4" s="179" t="s">
        <v>216</v>
      </c>
      <c r="B4" s="385">
        <f>SUM(B5:B7)</f>
        <v>41001</v>
      </c>
      <c r="C4" s="386">
        <f>SUM(C5:C7)</f>
        <v>0</v>
      </c>
      <c r="D4" s="386">
        <f>SUM(D5:D7)</f>
        <v>9604</v>
      </c>
      <c r="E4" s="386">
        <f>SUM(E5:E7)</f>
        <v>1049</v>
      </c>
      <c r="F4" s="387">
        <f>SUM(F5:F7)</f>
        <v>1760</v>
      </c>
      <c r="G4" s="388">
        <f aca="true" t="shared" si="0" ref="G4:G20">SUM(B4:F4)</f>
        <v>53414</v>
      </c>
    </row>
    <row r="5" spans="1:7" ht="12.75">
      <c r="A5" s="179" t="s">
        <v>35</v>
      </c>
      <c r="B5" s="385">
        <v>1236</v>
      </c>
      <c r="C5" s="386"/>
      <c r="D5" s="386">
        <v>7628</v>
      </c>
      <c r="E5" s="386">
        <v>564</v>
      </c>
      <c r="F5" s="389">
        <v>1448</v>
      </c>
      <c r="G5" s="390">
        <f t="shared" si="0"/>
        <v>10876</v>
      </c>
    </row>
    <row r="6" spans="1:7" ht="12.75">
      <c r="A6" s="179" t="s">
        <v>36</v>
      </c>
      <c r="B6" s="385">
        <v>39765</v>
      </c>
      <c r="C6" s="386"/>
      <c r="D6" s="386">
        <v>1957</v>
      </c>
      <c r="E6" s="386">
        <v>485</v>
      </c>
      <c r="F6" s="389">
        <v>312</v>
      </c>
      <c r="G6" s="390">
        <f t="shared" si="0"/>
        <v>42519</v>
      </c>
    </row>
    <row r="7" spans="1:7" ht="12.75">
      <c r="A7" s="179" t="s">
        <v>37</v>
      </c>
      <c r="B7" s="385">
        <v>0</v>
      </c>
      <c r="C7" s="386"/>
      <c r="D7" s="386">
        <v>19</v>
      </c>
      <c r="E7" s="386">
        <v>0</v>
      </c>
      <c r="F7" s="389">
        <v>0</v>
      </c>
      <c r="G7" s="391">
        <f t="shared" si="0"/>
        <v>19</v>
      </c>
    </row>
    <row r="8" spans="1:7" ht="12.75">
      <c r="A8" s="179" t="s">
        <v>217</v>
      </c>
      <c r="B8" s="385">
        <f>SUM(B9:B11)</f>
        <v>254</v>
      </c>
      <c r="C8" s="386">
        <f>SUM(C9:C11)</f>
        <v>0</v>
      </c>
      <c r="D8" s="386">
        <f>SUM(D9:D11)</f>
        <v>1495</v>
      </c>
      <c r="E8" s="386">
        <f>SUM(E9:E11)</f>
        <v>413</v>
      </c>
      <c r="F8" s="386">
        <f>SUM(F9:F11)</f>
        <v>158</v>
      </c>
      <c r="G8" s="390">
        <f t="shared" si="0"/>
        <v>2320</v>
      </c>
    </row>
    <row r="9" spans="1:7" ht="12.75">
      <c r="A9" s="179" t="s">
        <v>37</v>
      </c>
      <c r="B9" s="385">
        <v>0</v>
      </c>
      <c r="C9" s="386"/>
      <c r="D9" s="386">
        <v>0</v>
      </c>
      <c r="E9" s="386">
        <v>6</v>
      </c>
      <c r="F9" s="389">
        <v>15</v>
      </c>
      <c r="G9" s="391">
        <f t="shared" si="0"/>
        <v>21</v>
      </c>
    </row>
    <row r="10" spans="1:7" ht="12.75">
      <c r="A10" s="179" t="s">
        <v>38</v>
      </c>
      <c r="B10" s="385">
        <v>248</v>
      </c>
      <c r="C10" s="386"/>
      <c r="D10" s="386">
        <v>1392</v>
      </c>
      <c r="E10" s="386">
        <v>141</v>
      </c>
      <c r="F10" s="389">
        <v>143</v>
      </c>
      <c r="G10" s="390">
        <f t="shared" si="0"/>
        <v>1924</v>
      </c>
    </row>
    <row r="11" spans="1:7" ht="12.75">
      <c r="A11" s="179" t="s">
        <v>39</v>
      </c>
      <c r="B11" s="385">
        <v>6</v>
      </c>
      <c r="C11" s="386"/>
      <c r="D11" s="386">
        <v>103</v>
      </c>
      <c r="E11" s="386">
        <v>266</v>
      </c>
      <c r="F11" s="389">
        <v>0</v>
      </c>
      <c r="G11" s="392">
        <f t="shared" si="0"/>
        <v>375</v>
      </c>
    </row>
    <row r="12" spans="1:7" ht="22.5">
      <c r="A12" s="179" t="s">
        <v>571</v>
      </c>
      <c r="B12" s="385">
        <f>B3+B4-B8</f>
        <v>61252</v>
      </c>
      <c r="C12" s="386">
        <f>C3+C4-C8</f>
        <v>0</v>
      </c>
      <c r="D12" s="386">
        <f>D3+D4-D8</f>
        <v>29060</v>
      </c>
      <c r="E12" s="386">
        <f>E3+E4-E8</f>
        <v>3343</v>
      </c>
      <c r="F12" s="386">
        <f>F3+F4-F8</f>
        <v>10639</v>
      </c>
      <c r="G12" s="392">
        <f t="shared" si="0"/>
        <v>104294</v>
      </c>
    </row>
    <row r="13" spans="1:7" ht="33.75">
      <c r="A13" s="179" t="s">
        <v>572</v>
      </c>
      <c r="B13" s="385">
        <v>7524</v>
      </c>
      <c r="C13" s="386">
        <v>0</v>
      </c>
      <c r="D13" s="386">
        <v>11504</v>
      </c>
      <c r="E13" s="386">
        <v>1151</v>
      </c>
      <c r="F13" s="389">
        <v>6494</v>
      </c>
      <c r="G13" s="392">
        <f t="shared" si="0"/>
        <v>26673</v>
      </c>
    </row>
    <row r="14" spans="1:7" ht="22.5">
      <c r="A14" s="179" t="s">
        <v>573</v>
      </c>
      <c r="B14" s="385">
        <f>SUM(B15:B18)</f>
        <v>1767</v>
      </c>
      <c r="C14" s="386">
        <f>SUM(C15:C18)</f>
        <v>0</v>
      </c>
      <c r="D14" s="386">
        <f>SUM(D15:D18)</f>
        <v>3187</v>
      </c>
      <c r="E14" s="386">
        <f>SUM(E15:E18)</f>
        <v>186</v>
      </c>
      <c r="F14" s="386">
        <f>SUM(F15:F18)</f>
        <v>1081</v>
      </c>
      <c r="G14" s="392">
        <f t="shared" si="0"/>
        <v>6221</v>
      </c>
    </row>
    <row r="15" spans="1:7" ht="12.75">
      <c r="A15" s="179" t="s">
        <v>40</v>
      </c>
      <c r="B15" s="385">
        <v>2007</v>
      </c>
      <c r="C15" s="386"/>
      <c r="D15" s="386">
        <v>4668</v>
      </c>
      <c r="E15" s="386">
        <v>544</v>
      </c>
      <c r="F15" s="389">
        <v>1226</v>
      </c>
      <c r="G15" s="392">
        <f t="shared" si="0"/>
        <v>8445</v>
      </c>
    </row>
    <row r="16" spans="1:7" ht="12.75">
      <c r="A16" s="179" t="s">
        <v>41</v>
      </c>
      <c r="B16" s="630">
        <v>-239</v>
      </c>
      <c r="C16" s="386"/>
      <c r="D16" s="631">
        <v>-1390</v>
      </c>
      <c r="E16" s="631">
        <v>-94</v>
      </c>
      <c r="F16" s="632">
        <v>-143</v>
      </c>
      <c r="G16" s="633">
        <f t="shared" si="0"/>
        <v>-1866</v>
      </c>
    </row>
    <row r="17" spans="1:7" ht="12.75">
      <c r="A17" s="179" t="s">
        <v>37</v>
      </c>
      <c r="B17" s="385">
        <v>0</v>
      </c>
      <c r="C17" s="386"/>
      <c r="D17" s="386">
        <v>12</v>
      </c>
      <c r="E17" s="386">
        <v>0</v>
      </c>
      <c r="F17" s="389">
        <v>-2</v>
      </c>
      <c r="G17" s="392">
        <f t="shared" si="0"/>
        <v>10</v>
      </c>
    </row>
    <row r="18" spans="1:7" ht="12.75">
      <c r="A18" s="179" t="s">
        <v>39</v>
      </c>
      <c r="B18" s="630">
        <v>-1</v>
      </c>
      <c r="C18" s="386"/>
      <c r="D18" s="631">
        <v>-103</v>
      </c>
      <c r="E18" s="631">
        <v>-264</v>
      </c>
      <c r="F18" s="389">
        <v>0</v>
      </c>
      <c r="G18" s="633">
        <f t="shared" si="0"/>
        <v>-368</v>
      </c>
    </row>
    <row r="19" spans="1:7" ht="22.5">
      <c r="A19" s="179" t="s">
        <v>574</v>
      </c>
      <c r="B19" s="385">
        <f>B13+B14</f>
        <v>9291</v>
      </c>
      <c r="C19" s="386">
        <f>C13+C14</f>
        <v>0</v>
      </c>
      <c r="D19" s="386">
        <f>D13+D14</f>
        <v>14691</v>
      </c>
      <c r="E19" s="386">
        <f>E13+E14</f>
        <v>1337</v>
      </c>
      <c r="F19" s="386">
        <f>F13+F14</f>
        <v>7575</v>
      </c>
      <c r="G19" s="392">
        <f t="shared" si="0"/>
        <v>32894</v>
      </c>
    </row>
    <row r="20" spans="1:7" ht="23.25" thickBot="1">
      <c r="A20" s="180" t="s">
        <v>588</v>
      </c>
      <c r="B20" s="393">
        <f>B12-B19</f>
        <v>51961</v>
      </c>
      <c r="C20" s="394">
        <f>C12-C19</f>
        <v>0</v>
      </c>
      <c r="D20" s="394">
        <f>D12-D19</f>
        <v>14369</v>
      </c>
      <c r="E20" s="394">
        <f>E12-E19</f>
        <v>2006</v>
      </c>
      <c r="F20" s="394">
        <f>F12-F19</f>
        <v>3064</v>
      </c>
      <c r="G20" s="395">
        <f t="shared" si="0"/>
        <v>71400</v>
      </c>
    </row>
    <row r="21" spans="1:6" ht="13.5" thickTop="1">
      <c r="A21" s="181"/>
      <c r="B21" s="92"/>
      <c r="C21" s="92"/>
      <c r="D21" s="92"/>
      <c r="E21" s="92"/>
      <c r="F21" s="92"/>
    </row>
    <row r="22" spans="1:6" ht="12.75">
      <c r="A22" s="181"/>
      <c r="B22" s="92"/>
      <c r="C22" s="92"/>
      <c r="D22" s="92"/>
      <c r="E22" s="92"/>
      <c r="F22" s="92"/>
    </row>
    <row r="23" spans="1:6" ht="12.75">
      <c r="A23" s="181"/>
      <c r="B23" s="92"/>
      <c r="C23" s="92"/>
      <c r="D23" s="92"/>
      <c r="E23" s="92"/>
      <c r="F23" s="92"/>
    </row>
  </sheetData>
  <printOptions gridLines="1"/>
  <pageMargins left="0.75" right="0.24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:IV6"/>
    </sheetView>
  </sheetViews>
  <sheetFormatPr defaultColWidth="9.00390625" defaultRowHeight="12.75"/>
  <cols>
    <col min="1" max="1" width="9.00390625" style="0" customWidth="1"/>
    <col min="2" max="2" width="18.00390625" style="0" customWidth="1"/>
    <col min="3" max="3" width="14.875" style="0" customWidth="1"/>
    <col min="4" max="4" width="13.125" style="0" customWidth="1"/>
    <col min="5" max="5" width="14.75390625" style="0" customWidth="1"/>
  </cols>
  <sheetData>
    <row r="1" spans="1:5" ht="14.25" thickBot="1" thickTop="1">
      <c r="A1" s="198" t="s">
        <v>589</v>
      </c>
      <c r="B1" s="199"/>
      <c r="C1" s="199"/>
      <c r="D1" s="199"/>
      <c r="E1" s="200"/>
    </row>
    <row r="2" spans="1:5" ht="12.75">
      <c r="A2" s="201" t="s">
        <v>590</v>
      </c>
      <c r="B2" s="202" t="s">
        <v>591</v>
      </c>
      <c r="C2" s="202" t="s">
        <v>592</v>
      </c>
      <c r="D2" s="202" t="s">
        <v>593</v>
      </c>
      <c r="E2" s="203" t="s">
        <v>594</v>
      </c>
    </row>
    <row r="3" spans="1:5" ht="24.75" thickBot="1">
      <c r="A3" s="204" t="s">
        <v>595</v>
      </c>
      <c r="B3" s="205" t="s">
        <v>596</v>
      </c>
      <c r="C3" s="206" t="s">
        <v>597</v>
      </c>
      <c r="D3" s="206" t="s">
        <v>598</v>
      </c>
      <c r="E3" s="207" t="s">
        <v>599</v>
      </c>
    </row>
    <row r="4" spans="1:5" ht="12.75">
      <c r="A4" s="192"/>
      <c r="B4" s="193"/>
      <c r="C4" s="193"/>
      <c r="D4" s="193"/>
      <c r="E4" s="194"/>
    </row>
    <row r="5" spans="1:5" ht="13.5" thickBot="1">
      <c r="A5" s="195"/>
      <c r="B5" s="196"/>
      <c r="C5" s="196"/>
      <c r="D5" s="196"/>
      <c r="E5" s="197"/>
    </row>
    <row r="6" ht="13.5" thickTop="1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5" sqref="A5:IV6"/>
    </sheetView>
  </sheetViews>
  <sheetFormatPr defaultColWidth="9.00390625" defaultRowHeight="12.75"/>
  <cols>
    <col min="1" max="1" width="24.125" style="0" customWidth="1"/>
    <col min="2" max="2" width="10.75390625" style="0" customWidth="1"/>
    <col min="3" max="3" width="17.75390625" style="0" customWidth="1"/>
    <col min="4" max="4" width="16.75390625" style="0" customWidth="1"/>
  </cols>
  <sheetData>
    <row r="1" spans="1:4" ht="14.25" thickBot="1" thickTop="1">
      <c r="A1" s="183" t="s">
        <v>600</v>
      </c>
      <c r="B1" s="184"/>
      <c r="C1" s="184"/>
      <c r="D1" s="185"/>
    </row>
    <row r="2" spans="1:4" ht="12.75">
      <c r="A2" s="186" t="s">
        <v>590</v>
      </c>
      <c r="B2" s="187" t="s">
        <v>591</v>
      </c>
      <c r="C2" s="187" t="s">
        <v>592</v>
      </c>
      <c r="D2" s="188" t="s">
        <v>593</v>
      </c>
    </row>
    <row r="3" spans="1:4" ht="13.5" thickBot="1">
      <c r="A3" s="189" t="s">
        <v>601</v>
      </c>
      <c r="B3" s="190" t="s">
        <v>602</v>
      </c>
      <c r="C3" s="190" t="s">
        <v>596</v>
      </c>
      <c r="D3" s="191" t="s">
        <v>597</v>
      </c>
    </row>
    <row r="4" spans="1:4" ht="12.75">
      <c r="A4" s="192"/>
      <c r="B4" s="193"/>
      <c r="C4" s="193"/>
      <c r="D4" s="194"/>
    </row>
    <row r="5" spans="1:4" ht="13.5" thickBot="1">
      <c r="A5" s="195"/>
      <c r="B5" s="196"/>
      <c r="C5" s="196"/>
      <c r="D5" s="197"/>
    </row>
    <row r="6" ht="13.5" thickTop="1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5:IV9"/>
    </sheetView>
  </sheetViews>
  <sheetFormatPr defaultColWidth="9.00390625" defaultRowHeight="12.75"/>
  <cols>
    <col min="1" max="1" width="18.625" style="0" customWidth="1"/>
    <col min="2" max="2" width="12.25390625" style="0" customWidth="1"/>
    <col min="3" max="3" width="14.00390625" style="0" customWidth="1"/>
    <col min="4" max="4" width="11.875" style="0" customWidth="1"/>
    <col min="5" max="5" width="12.25390625" style="0" customWidth="1"/>
    <col min="6" max="6" width="17.625" style="0" customWidth="1"/>
  </cols>
  <sheetData>
    <row r="1" spans="1:6" s="208" customFormat="1" ht="13.5" thickTop="1">
      <c r="A1" s="267" t="s">
        <v>603</v>
      </c>
      <c r="B1" s="244"/>
      <c r="C1" s="244"/>
      <c r="D1" s="244"/>
      <c r="E1" s="244"/>
      <c r="F1" s="268"/>
    </row>
    <row r="2" spans="1:6" s="209" customFormat="1" ht="11.25">
      <c r="A2" s="215" t="s">
        <v>590</v>
      </c>
      <c r="B2" s="216" t="s">
        <v>591</v>
      </c>
      <c r="C2" s="216" t="s">
        <v>592</v>
      </c>
      <c r="D2" s="216" t="s">
        <v>593</v>
      </c>
      <c r="E2" s="216" t="s">
        <v>594</v>
      </c>
      <c r="F2" s="213" t="s">
        <v>604</v>
      </c>
    </row>
    <row r="3" spans="1:6" s="210" customFormat="1" ht="24.75" thickBot="1">
      <c r="A3" s="217" t="s">
        <v>605</v>
      </c>
      <c r="B3" s="218" t="s">
        <v>606</v>
      </c>
      <c r="C3" s="218" t="s">
        <v>607</v>
      </c>
      <c r="D3" s="218" t="s">
        <v>608</v>
      </c>
      <c r="E3" s="218" t="s">
        <v>609</v>
      </c>
      <c r="F3" s="214" t="s">
        <v>610</v>
      </c>
    </row>
    <row r="4" spans="1:6" s="208" customFormat="1" ht="12.75">
      <c r="A4" s="192"/>
      <c r="B4" s="193"/>
      <c r="C4" s="193"/>
      <c r="D4" s="193"/>
      <c r="E4" s="193"/>
      <c r="F4" s="194"/>
    </row>
    <row r="5" spans="1:6" s="208" customFormat="1" ht="12.75">
      <c r="A5" s="192"/>
      <c r="B5" s="193"/>
      <c r="C5" s="193"/>
      <c r="D5" s="193"/>
      <c r="E5" s="193"/>
      <c r="F5" s="194"/>
    </row>
    <row r="6" spans="1:6" s="208" customFormat="1" ht="13.5" thickBot="1">
      <c r="A6" s="195"/>
      <c r="B6" s="196"/>
      <c r="C6" s="196"/>
      <c r="D6" s="196"/>
      <c r="E6" s="196"/>
      <c r="F6" s="197"/>
    </row>
    <row r="7" s="208" customFormat="1" ht="13.5" thickTop="1"/>
    <row r="8" s="208" customFormat="1" ht="12.75"/>
    <row r="9" s="208" customFormat="1" ht="12.75"/>
    <row r="10" s="208" customFormat="1" ht="12.75"/>
    <row r="11" s="208" customFormat="1" ht="12.75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:IV12"/>
    </sheetView>
  </sheetViews>
  <sheetFormatPr defaultColWidth="9.00390625" defaultRowHeight="12.75"/>
  <cols>
    <col min="1" max="1" width="15.375" style="0" customWidth="1"/>
    <col min="2" max="2" width="9.375" style="0" customWidth="1"/>
    <col min="3" max="3" width="8.875" style="0" customWidth="1"/>
    <col min="4" max="4" width="12.00390625" style="0" customWidth="1"/>
    <col min="5" max="5" width="11.375" style="0" customWidth="1"/>
    <col min="6" max="6" width="15.75390625" style="0" customWidth="1"/>
    <col min="7" max="7" width="9.625" style="0" customWidth="1"/>
  </cols>
  <sheetData>
    <row r="1" spans="1:7" ht="12" customHeight="1" thickBot="1" thickTop="1">
      <c r="A1" s="219" t="s">
        <v>611</v>
      </c>
      <c r="B1" s="211"/>
      <c r="C1" s="211"/>
      <c r="D1" s="211"/>
      <c r="E1" s="211"/>
      <c r="F1" s="212"/>
      <c r="G1" s="212"/>
    </row>
    <row r="2" spans="1:7" ht="12" customHeight="1">
      <c r="A2" s="220" t="s">
        <v>612</v>
      </c>
      <c r="B2" s="221" t="s">
        <v>613</v>
      </c>
      <c r="C2" s="222"/>
      <c r="D2" s="223" t="s">
        <v>614</v>
      </c>
      <c r="E2" s="223" t="s">
        <v>615</v>
      </c>
      <c r="F2" s="223" t="s">
        <v>616</v>
      </c>
      <c r="G2" s="224" t="s">
        <v>617</v>
      </c>
    </row>
    <row r="3" spans="1:7" ht="12" customHeight="1">
      <c r="A3" s="225" t="s">
        <v>618</v>
      </c>
      <c r="B3" s="226" t="s">
        <v>619</v>
      </c>
      <c r="C3" s="227"/>
      <c r="D3" s="228" t="s">
        <v>620</v>
      </c>
      <c r="E3" s="228" t="s">
        <v>621</v>
      </c>
      <c r="F3" s="228" t="s">
        <v>622</v>
      </c>
      <c r="G3" s="229" t="s">
        <v>623</v>
      </c>
    </row>
    <row r="4" spans="1:7" ht="12" customHeight="1" thickBot="1">
      <c r="A4" s="230"/>
      <c r="B4" s="231" t="s">
        <v>624</v>
      </c>
      <c r="C4" s="232" t="s">
        <v>625</v>
      </c>
      <c r="D4" s="232" t="s">
        <v>626</v>
      </c>
      <c r="E4" s="232" t="s">
        <v>627</v>
      </c>
      <c r="F4" s="232" t="s">
        <v>628</v>
      </c>
      <c r="G4" s="233"/>
    </row>
    <row r="5" spans="1:7" ht="12" customHeight="1">
      <c r="A5" s="234"/>
      <c r="B5" s="235"/>
      <c r="C5" s="236"/>
      <c r="D5" s="236"/>
      <c r="E5" s="236"/>
      <c r="F5" s="236"/>
      <c r="G5" s="237"/>
    </row>
    <row r="6" spans="1:7" ht="12" customHeight="1">
      <c r="A6" s="234"/>
      <c r="B6" s="235"/>
      <c r="C6" s="236"/>
      <c r="D6" s="236"/>
      <c r="E6" s="236"/>
      <c r="F6" s="236"/>
      <c r="G6" s="237"/>
    </row>
    <row r="7" spans="1:7" ht="12" customHeight="1" thickBot="1">
      <c r="A7" s="238"/>
      <c r="B7" s="239"/>
      <c r="C7" s="240"/>
      <c r="D7" s="240"/>
      <c r="E7" s="240"/>
      <c r="F7" s="240"/>
      <c r="G7" s="241"/>
    </row>
    <row r="8" ht="13.5" thickTop="1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8">
      <selection activeCell="A1" sqref="A1:H21"/>
    </sheetView>
  </sheetViews>
  <sheetFormatPr defaultColWidth="9.00390625" defaultRowHeight="12.75"/>
  <cols>
    <col min="3" max="3" width="12.875" style="0" customWidth="1"/>
    <col min="6" max="6" width="12.625" style="0" customWidth="1"/>
  </cols>
  <sheetData>
    <row r="1" spans="1:8" ht="13.5" thickTop="1">
      <c r="A1" s="242" t="s">
        <v>629</v>
      </c>
      <c r="B1" s="243"/>
      <c r="C1" s="243"/>
      <c r="D1" s="244" t="s">
        <v>75</v>
      </c>
      <c r="E1" s="245"/>
      <c r="F1" s="245"/>
      <c r="G1" s="245"/>
      <c r="H1" s="246"/>
    </row>
    <row r="2" spans="1:8" ht="12.75">
      <c r="A2" s="247" t="s">
        <v>630</v>
      </c>
      <c r="B2" s="248" t="s">
        <v>631</v>
      </c>
      <c r="C2" s="248" t="s">
        <v>632</v>
      </c>
      <c r="D2" s="248" t="s">
        <v>633</v>
      </c>
      <c r="E2" s="248" t="s">
        <v>634</v>
      </c>
      <c r="F2" s="248" t="s">
        <v>635</v>
      </c>
      <c r="G2" s="248" t="s">
        <v>636</v>
      </c>
      <c r="H2" s="249" t="s">
        <v>637</v>
      </c>
    </row>
    <row r="3" spans="1:8" ht="12.75">
      <c r="A3" s="250" t="s">
        <v>638</v>
      </c>
      <c r="B3" s="251" t="s">
        <v>639</v>
      </c>
      <c r="C3" s="251" t="s">
        <v>640</v>
      </c>
      <c r="D3" s="251" t="s">
        <v>639</v>
      </c>
      <c r="E3" s="251" t="s">
        <v>641</v>
      </c>
      <c r="F3" s="251" t="s">
        <v>642</v>
      </c>
      <c r="G3" s="251" t="s">
        <v>643</v>
      </c>
      <c r="H3" s="252" t="s">
        <v>644</v>
      </c>
    </row>
    <row r="4" spans="1:8" ht="12.75">
      <c r="A4" s="404" t="s">
        <v>76</v>
      </c>
      <c r="B4" s="202" t="s">
        <v>77</v>
      </c>
      <c r="C4" s="202" t="s">
        <v>78</v>
      </c>
      <c r="D4" s="405">
        <v>236700</v>
      </c>
      <c r="E4" s="405">
        <v>2367</v>
      </c>
      <c r="F4" s="202" t="s">
        <v>79</v>
      </c>
      <c r="G4" s="202" t="s">
        <v>80</v>
      </c>
      <c r="H4" s="203" t="s">
        <v>81</v>
      </c>
    </row>
    <row r="5" spans="1:8" ht="12.75">
      <c r="A5" s="404" t="s">
        <v>82</v>
      </c>
      <c r="B5" s="202" t="s">
        <v>77</v>
      </c>
      <c r="C5" s="202" t="s">
        <v>78</v>
      </c>
      <c r="D5" s="405">
        <v>1263300</v>
      </c>
      <c r="E5" s="405">
        <v>12633</v>
      </c>
      <c r="F5" s="202" t="s">
        <v>79</v>
      </c>
      <c r="G5" s="202" t="s">
        <v>83</v>
      </c>
      <c r="H5" s="203" t="s">
        <v>84</v>
      </c>
    </row>
    <row r="6" spans="1:8" ht="12.75">
      <c r="A6" s="404" t="s">
        <v>85</v>
      </c>
      <c r="B6" s="202" t="s">
        <v>77</v>
      </c>
      <c r="C6" s="202" t="s">
        <v>78</v>
      </c>
      <c r="D6" s="405">
        <v>477600</v>
      </c>
      <c r="E6" s="405">
        <v>4776</v>
      </c>
      <c r="F6" s="202" t="s">
        <v>79</v>
      </c>
      <c r="G6" s="202" t="s">
        <v>86</v>
      </c>
      <c r="H6" s="203" t="s">
        <v>84</v>
      </c>
    </row>
    <row r="7" spans="1:8" ht="24">
      <c r="A7" s="406" t="s">
        <v>85</v>
      </c>
      <c r="B7" s="407" t="s">
        <v>77</v>
      </c>
      <c r="C7" s="407" t="s">
        <v>78</v>
      </c>
      <c r="D7" s="408">
        <v>22400</v>
      </c>
      <c r="E7" s="408">
        <v>224</v>
      </c>
      <c r="F7" s="409" t="s">
        <v>87</v>
      </c>
      <c r="G7" s="407" t="s">
        <v>86</v>
      </c>
      <c r="H7" s="410" t="s">
        <v>84</v>
      </c>
    </row>
    <row r="8" spans="1:8" ht="12.75">
      <c r="A8" s="404" t="s">
        <v>88</v>
      </c>
      <c r="B8" s="202" t="s">
        <v>77</v>
      </c>
      <c r="C8" s="202" t="s">
        <v>78</v>
      </c>
      <c r="D8" s="405">
        <v>1300000</v>
      </c>
      <c r="E8" s="405">
        <v>13000</v>
      </c>
      <c r="F8" s="202" t="s">
        <v>79</v>
      </c>
      <c r="G8" s="202" t="s">
        <v>89</v>
      </c>
      <c r="H8" s="203" t="s">
        <v>90</v>
      </c>
    </row>
    <row r="9" spans="1:8" ht="12.75">
      <c r="A9" s="404" t="s">
        <v>91</v>
      </c>
      <c r="B9" s="202" t="s">
        <v>77</v>
      </c>
      <c r="C9" s="202" t="s">
        <v>78</v>
      </c>
      <c r="D9" s="405">
        <v>647300</v>
      </c>
      <c r="E9" s="405">
        <v>6473</v>
      </c>
      <c r="F9" s="202" t="s">
        <v>79</v>
      </c>
      <c r="G9" s="202" t="s">
        <v>92</v>
      </c>
      <c r="H9" s="203" t="s">
        <v>93</v>
      </c>
    </row>
    <row r="10" spans="1:8" ht="24">
      <c r="A10" s="406" t="s">
        <v>91</v>
      </c>
      <c r="B10" s="407" t="s">
        <v>77</v>
      </c>
      <c r="C10" s="407" t="s">
        <v>78</v>
      </c>
      <c r="D10" s="408">
        <v>15500</v>
      </c>
      <c r="E10" s="408">
        <v>155</v>
      </c>
      <c r="F10" s="409" t="s">
        <v>87</v>
      </c>
      <c r="G10" s="407" t="s">
        <v>92</v>
      </c>
      <c r="H10" s="410" t="s">
        <v>93</v>
      </c>
    </row>
    <row r="11" spans="1:8" ht="24">
      <c r="A11" s="406" t="s">
        <v>91</v>
      </c>
      <c r="B11" s="407" t="s">
        <v>94</v>
      </c>
      <c r="C11" s="407" t="s">
        <v>78</v>
      </c>
      <c r="D11" s="408">
        <v>37200</v>
      </c>
      <c r="E11" s="408">
        <v>372</v>
      </c>
      <c r="F11" s="409" t="s">
        <v>87</v>
      </c>
      <c r="G11" s="407" t="s">
        <v>92</v>
      </c>
      <c r="H11" s="410" t="s">
        <v>93</v>
      </c>
    </row>
    <row r="12" spans="1:8" ht="12.75">
      <c r="A12" s="404" t="s">
        <v>95</v>
      </c>
      <c r="B12" s="202" t="s">
        <v>77</v>
      </c>
      <c r="C12" s="202" t="s">
        <v>78</v>
      </c>
      <c r="D12" s="405">
        <v>1500000</v>
      </c>
      <c r="E12" s="405">
        <v>15000</v>
      </c>
      <c r="F12" s="202" t="s">
        <v>79</v>
      </c>
      <c r="G12" s="202" t="s">
        <v>96</v>
      </c>
      <c r="H12" s="203" t="s">
        <v>93</v>
      </c>
    </row>
    <row r="13" spans="1:8" ht="12.75">
      <c r="A13" s="404" t="s">
        <v>97</v>
      </c>
      <c r="B13" s="202" t="s">
        <v>77</v>
      </c>
      <c r="C13" s="202" t="s">
        <v>78</v>
      </c>
      <c r="D13" s="405">
        <v>1260000</v>
      </c>
      <c r="E13" s="405">
        <v>12600</v>
      </c>
      <c r="F13" s="202" t="s">
        <v>79</v>
      </c>
      <c r="G13" s="202" t="s">
        <v>98</v>
      </c>
      <c r="H13" s="203" t="s">
        <v>99</v>
      </c>
    </row>
    <row r="14" spans="1:8" ht="12.75">
      <c r="A14" s="404" t="s">
        <v>100</v>
      </c>
      <c r="B14" s="202" t="s">
        <v>77</v>
      </c>
      <c r="C14" s="202" t="s">
        <v>78</v>
      </c>
      <c r="D14" s="405">
        <v>670000</v>
      </c>
      <c r="E14" s="405">
        <v>6700</v>
      </c>
      <c r="F14" s="202" t="s">
        <v>79</v>
      </c>
      <c r="G14" s="202" t="s">
        <v>98</v>
      </c>
      <c r="H14" s="203" t="s">
        <v>99</v>
      </c>
    </row>
    <row r="15" spans="1:8" ht="12.75">
      <c r="A15" s="404" t="s">
        <v>94</v>
      </c>
      <c r="B15" s="202" t="s">
        <v>77</v>
      </c>
      <c r="C15" s="202" t="s">
        <v>78</v>
      </c>
      <c r="D15" s="405">
        <v>70000</v>
      </c>
      <c r="E15" s="405">
        <v>700</v>
      </c>
      <c r="F15" s="202" t="s">
        <v>79</v>
      </c>
      <c r="G15" s="202" t="s">
        <v>98</v>
      </c>
      <c r="H15" s="203" t="s">
        <v>99</v>
      </c>
    </row>
    <row r="16" spans="1:8" ht="12.75">
      <c r="A16" s="404" t="s">
        <v>101</v>
      </c>
      <c r="B16" s="202" t="s">
        <v>77</v>
      </c>
      <c r="C16" s="202" t="s">
        <v>78</v>
      </c>
      <c r="D16" s="405">
        <v>1055000</v>
      </c>
      <c r="E16" s="405">
        <v>10550</v>
      </c>
      <c r="F16" s="202" t="s">
        <v>79</v>
      </c>
      <c r="G16" s="202" t="s">
        <v>102</v>
      </c>
      <c r="H16" s="203" t="s">
        <v>99</v>
      </c>
    </row>
    <row r="17" spans="1:8" ht="12.75">
      <c r="A17" s="404" t="s">
        <v>103</v>
      </c>
      <c r="B17" s="202" t="s">
        <v>77</v>
      </c>
      <c r="C17" s="202" t="s">
        <v>78</v>
      </c>
      <c r="D17" s="405">
        <v>945000</v>
      </c>
      <c r="E17" s="405">
        <v>9450</v>
      </c>
      <c r="F17" s="202" t="s">
        <v>79</v>
      </c>
      <c r="G17" s="202" t="s">
        <v>102</v>
      </c>
      <c r="H17" s="203" t="s">
        <v>99</v>
      </c>
    </row>
    <row r="18" spans="1:8" ht="12.75">
      <c r="A18" s="404" t="s">
        <v>104</v>
      </c>
      <c r="B18" s="202" t="s">
        <v>77</v>
      </c>
      <c r="C18" s="202" t="s">
        <v>78</v>
      </c>
      <c r="D18" s="405">
        <v>1200000</v>
      </c>
      <c r="E18" s="405">
        <v>12000</v>
      </c>
      <c r="F18" s="202" t="s">
        <v>79</v>
      </c>
      <c r="G18" s="202" t="s">
        <v>105</v>
      </c>
      <c r="H18" s="203" t="s">
        <v>99</v>
      </c>
    </row>
    <row r="19" spans="1:8" ht="13.5" thickBot="1">
      <c r="A19" s="404" t="s">
        <v>106</v>
      </c>
      <c r="B19" s="202" t="s">
        <v>77</v>
      </c>
      <c r="C19" s="202" t="s">
        <v>78</v>
      </c>
      <c r="D19" s="405">
        <v>2500000</v>
      </c>
      <c r="E19" s="405">
        <v>25000</v>
      </c>
      <c r="F19" s="202" t="s">
        <v>79</v>
      </c>
      <c r="G19" s="202" t="s">
        <v>107</v>
      </c>
      <c r="H19" s="203" t="s">
        <v>108</v>
      </c>
    </row>
    <row r="20" spans="1:8" ht="13.5" thickBot="1">
      <c r="A20" s="253" t="s">
        <v>645</v>
      </c>
      <c r="B20" s="254"/>
      <c r="C20" s="411"/>
      <c r="D20" s="412">
        <f>SUM(D4:D19)</f>
        <v>13200000</v>
      </c>
      <c r="E20" s="255"/>
      <c r="F20" s="255"/>
      <c r="G20" s="255"/>
      <c r="H20" s="256"/>
    </row>
    <row r="21" spans="1:8" ht="13.5" thickBot="1">
      <c r="A21" s="257" t="s">
        <v>646</v>
      </c>
      <c r="B21" s="258"/>
      <c r="C21" s="258"/>
      <c r="D21" s="258"/>
      <c r="E21" s="413">
        <f>SUM(E4:E19)</f>
        <v>132000</v>
      </c>
      <c r="F21" s="259"/>
      <c r="G21" s="259"/>
      <c r="H21" s="260"/>
    </row>
    <row r="22" ht="13.5" thickTop="1"/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18" sqref="G18"/>
    </sheetView>
  </sheetViews>
  <sheetFormatPr defaultColWidth="9.00390625" defaultRowHeight="12.75"/>
  <cols>
    <col min="1" max="1" width="23.875" style="0" customWidth="1"/>
    <col min="2" max="2" width="9.375" style="0" customWidth="1"/>
    <col min="3" max="3" width="8.875" style="0" customWidth="1"/>
    <col min="4" max="4" width="19.00390625" style="0" customWidth="1"/>
    <col min="5" max="5" width="13.75390625" style="0" customWidth="1"/>
  </cols>
  <sheetData>
    <row r="1" spans="1:5" ht="12" customHeight="1" thickBot="1" thickTop="1">
      <c r="A1" s="219" t="s">
        <v>647</v>
      </c>
      <c r="B1" s="211"/>
      <c r="C1" s="211"/>
      <c r="D1" s="211"/>
      <c r="E1" s="212"/>
    </row>
    <row r="2" spans="1:5" s="266" customFormat="1" ht="9.75" customHeight="1">
      <c r="A2" s="261" t="s">
        <v>612</v>
      </c>
      <c r="B2" s="262" t="s">
        <v>613</v>
      </c>
      <c r="C2" s="263"/>
      <c r="D2" s="264" t="s">
        <v>614</v>
      </c>
      <c r="E2" s="265" t="s">
        <v>615</v>
      </c>
    </row>
    <row r="3" spans="1:5" ht="12" customHeight="1">
      <c r="A3" s="225" t="s">
        <v>648</v>
      </c>
      <c r="B3" s="226" t="s">
        <v>619</v>
      </c>
      <c r="C3" s="227"/>
      <c r="D3" s="228" t="s">
        <v>620</v>
      </c>
      <c r="E3" s="229" t="s">
        <v>621</v>
      </c>
    </row>
    <row r="4" spans="1:5" ht="12" customHeight="1" thickBot="1">
      <c r="A4" s="230"/>
      <c r="B4" s="231" t="s">
        <v>624</v>
      </c>
      <c r="C4" s="232" t="s">
        <v>625</v>
      </c>
      <c r="D4" s="232" t="s">
        <v>626</v>
      </c>
      <c r="E4" s="233" t="s">
        <v>627</v>
      </c>
    </row>
    <row r="5" spans="1:5" ht="10.5" customHeight="1">
      <c r="A5" s="234"/>
      <c r="B5" s="235"/>
      <c r="C5" s="236"/>
      <c r="D5" s="236"/>
      <c r="E5" s="237"/>
    </row>
    <row r="6" spans="1:5" ht="10.5" customHeight="1">
      <c r="A6" s="234"/>
      <c r="B6" s="235"/>
      <c r="C6" s="236"/>
      <c r="D6" s="236"/>
      <c r="E6" s="237"/>
    </row>
    <row r="7" spans="1:5" ht="10.5" customHeight="1" thickBot="1">
      <c r="A7" s="238"/>
      <c r="B7" s="239"/>
      <c r="C7" s="240"/>
      <c r="D7" s="240"/>
      <c r="E7" s="241"/>
    </row>
    <row r="8" ht="13.5" thickTop="1"/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Mazurek</dc:creator>
  <cp:keywords/>
  <dc:description/>
  <cp:lastModifiedBy>Małgosia Zagórska</cp:lastModifiedBy>
  <cp:lastPrinted>2000-03-27T08:02:45Z</cp:lastPrinted>
  <dcterms:created xsi:type="dcterms:W3CDTF">2000-01-12T08:34:53Z</dcterms:created>
  <cp:category/>
  <cp:version/>
  <cp:contentType/>
  <cp:contentStatus/>
</cp:coreProperties>
</file>