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9630" windowHeight="2625" activeTab="0"/>
  </bookViews>
  <sheets>
    <sheet name="RAP1" sheetId="1" r:id="rId1"/>
  </sheets>
  <definedNames>
    <definedName name="_xlnm.Print_Area" localSheetId="0">'RAP1'!$B$1:$F$212</definedName>
  </definedNames>
  <calcPr fullCalcOnLoad="1"/>
</workbook>
</file>

<file path=xl/sharedStrings.xml><?xml version="1.0" encoding="utf-8"?>
<sst xmlns="http://schemas.openxmlformats.org/spreadsheetml/2006/main" count="218" uniqueCount="205">
  <si>
    <t>Formularz</t>
  </si>
  <si>
    <t xml:space="preserve">                 (kwartał/rok)</t>
  </si>
  <si>
    <t xml:space="preserve">        (dla emitentów papierów wartościowych o działalności wytwórczej, budowlanej, handlowej lub usługowej)</t>
  </si>
  <si>
    <t xml:space="preserve"> Zgodnie z § 46 ust. 8 Rozporządzenia Rady Ministrów z dnia 22 grudnia 1998r. - Dz.U. Nr 163, poz. 1160</t>
  </si>
  <si>
    <t>(data przekazania)</t>
  </si>
  <si>
    <t>w tys. zł</t>
  </si>
  <si>
    <t>w tys. EURO</t>
  </si>
  <si>
    <t xml:space="preserve">WYBRANE DANE FINANSOWE                                                                (rok bieżący)             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</si>
  <si>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</si>
  <si>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</si>
  <si>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</si>
  <si>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</si>
  <si>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t xml:space="preserve">SKONSOLIDOWANY BILANS                                                                                                         w tys. zł </t>
  </si>
  <si>
    <t>A k t y w a</t>
  </si>
  <si>
    <t>I. Majątek trwały</t>
  </si>
  <si>
    <t xml:space="preserve">     1. Wartości niematerialne i prawne</t>
  </si>
  <si>
    <t xml:space="preserve">     2. Wartość firmy z konsolidacji</t>
  </si>
  <si>
    <t xml:space="preserve">     3. Rzeczowy majątek trwały</t>
  </si>
  <si>
    <t xml:space="preserve">     4. Finansowy majątek trwały</t>
  </si>
  <si>
    <t xml:space="preserve"> - akcje i udziały w jednostkach objętych konsolidacją metodą praw własności </t>
  </si>
  <si>
    <t xml:space="preserve">     5. Należności długoterminowe</t>
  </si>
  <si>
    <t>II. Majątek obrotowy</t>
  </si>
  <si>
    <t xml:space="preserve">     1. Zapasy</t>
  </si>
  <si>
    <t xml:space="preserve">     2. Należności krótkoterminowe</t>
  </si>
  <si>
    <t xml:space="preserve">     3. Akcje (udziały) własne do zbycia</t>
  </si>
  <si>
    <t xml:space="preserve">     4. Papiery wartościowe przeznaczone do obrotu</t>
  </si>
  <si>
    <t xml:space="preserve">     5. Środki pieniężne</t>
  </si>
  <si>
    <t>III. Rozliczenia międzyokresowe</t>
  </si>
  <si>
    <t xml:space="preserve">     1. Z tytułu odroczonego podatku dochodowego</t>
  </si>
  <si>
    <t xml:space="preserve">     2. Pozostałe rozliczenia międzyokresowe</t>
  </si>
  <si>
    <t>A k t y w a  r a z e m</t>
  </si>
  <si>
    <t>P a s y w a</t>
  </si>
  <si>
    <t>I. Kapitał własny</t>
  </si>
  <si>
    <t xml:space="preserve">     1. Kapitał akcyjny</t>
  </si>
  <si>
    <t xml:space="preserve">     2. Należne wpłaty na poczet kapitału akcyjnego (wielkość ujemna)</t>
  </si>
  <si>
    <t xml:space="preserve">     3. Kapitał zapasowy</t>
  </si>
  <si>
    <t xml:space="preserve">     4. Kapitał rezerwowy z aktualizacji wyceny</t>
  </si>
  <si>
    <t xml:space="preserve">     5. Pozostałe kapitały rezerwowe</t>
  </si>
  <si>
    <t xml:space="preserve">     6. Różnice kursowe z przeliczenia oddziałów (zakładów)  zagranicznych</t>
  </si>
  <si>
    <t xml:space="preserve">     7. Różnice kursowe z konsolidacji</t>
  </si>
  <si>
    <t xml:space="preserve">     8. Niepodzielony zysk lub niepokryta strata z lat ubiegłych</t>
  </si>
  <si>
    <t xml:space="preserve">     9. Zysk (strata) netto</t>
  </si>
  <si>
    <t xml:space="preserve"> II. Rezerwa kapitałowa z konsolidacji</t>
  </si>
  <si>
    <t>III. Kapitał własny akcjonariuszy (udziałowców)  mniejszościowych</t>
  </si>
  <si>
    <t>IV. Rezerwy</t>
  </si>
  <si>
    <t xml:space="preserve">     1. Rezerwy na podatek dochodowy</t>
  </si>
  <si>
    <t xml:space="preserve">     2. Pozostałe rezerwy</t>
  </si>
  <si>
    <t>V. Zobowiązania</t>
  </si>
  <si>
    <t xml:space="preserve">     1. Zobowiązania długoterminowe</t>
  </si>
  <si>
    <t xml:space="preserve">     2. Zobowiązania krótkoterminowe</t>
  </si>
  <si>
    <t>VI. Rozliczenia międzyokresowe i przychody przyszłych okresów</t>
  </si>
  <si>
    <t>P a s y w a  r a z e m</t>
  </si>
  <si>
    <t>SKONSOLIDOWANY RACHUNEK ZYSKÓW I STRAT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</si>
  <si>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</si>
  <si>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</si>
  <si>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</t>
  </si>
  <si>
    <t xml:space="preserve">      1. Koszt wytworzenia sprzedanych produktów</t>
  </si>
  <si>
    <t xml:space="preserve"> 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</si>
  <si>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</si>
  <si>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</si>
  <si>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</si>
  <si>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</si>
  <si>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</si>
  <si>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</si>
  <si>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(strata) na działalności operacyjnej (VI+VII-VIII)</t>
  </si>
  <si>
    <t>X. Przychody z akcji i udziałów w innych jednostkach</t>
  </si>
  <si>
    <t>XI. Przychody z pozostałego finansowego majątku trwałego</t>
  </si>
  <si>
    <t>XII. Pozostałe przychody finansowe</t>
  </si>
  <si>
    <t>XIII. Koszty finansowe</t>
  </si>
  <si>
    <t>XIV. Zysk (strata) na działalności gospodarczej (IX+X+XI+XII-XIII)</t>
  </si>
  <si>
    <t>XV. Wynik zdarzeń nadzwyczajnych (XV.1. - XV.2.)</t>
  </si>
  <si>
    <t xml:space="preserve">      1. Zyski nadzwyczajne</t>
  </si>
  <si>
    <t xml:space="preserve">      2. Straty nadzwyczajne</t>
  </si>
  <si>
    <t xml:space="preserve">XVI. Odpis wartości firmy z konsolidacji </t>
  </si>
  <si>
    <t>XVII. Odpis rezerwy kapitałowej z konsolidacji</t>
  </si>
  <si>
    <t>XVIII. Zysk (strata) brutto</t>
  </si>
  <si>
    <t>XIX. Podatek dochodowy</t>
  </si>
  <si>
    <t>XX. Pozostałe obowiązkowe zmniejszenia zysku (zwiększenia straty)</t>
  </si>
  <si>
    <t xml:space="preserve">XXI.Udział w zyskach (stratach) jednostek objętych konsolidacją  metodą praw własności  </t>
  </si>
  <si>
    <t>XXII. (Zysk) strata  akcjonariuszy (udziałowców) mniejszościowych</t>
  </si>
  <si>
    <t>XXIII. Zysk (strata) netto</t>
  </si>
  <si>
    <t>Zysk (strata) netto (za 12 miesięcy)</t>
  </si>
  <si>
    <t xml:space="preserve">Średnia ważona liczba akcji zwykłych </t>
  </si>
  <si>
    <t>Zysk (strata) na jedną akcję zwykłą (w zł)</t>
  </si>
  <si>
    <t xml:space="preserve">SKONSOLIDOWANY RACHUNEK PRZEPŁYWU ŚRODKÓW PIENIĘŻNYCH </t>
  </si>
  <si>
    <t>A. Przepływy pieniężne netto z działalności operacyjnej (I-II) - metoda bezpośrednia</t>
  </si>
  <si>
    <t>I. Wpływy z działalności operacyjnej</t>
  </si>
  <si>
    <t xml:space="preserve">      1. Wpływy ze sprzedaży:</t>
  </si>
  <si>
    <t xml:space="preserve">          a) produktów</t>
  </si>
  <si>
    <t xml:space="preserve">          b) towarów</t>
  </si>
  <si>
    <t xml:space="preserve">          c)  materiałów</t>
  </si>
  <si>
    <t xml:space="preserve">      2. Wpływy z tytułu pozostałych przychodów operacyjnych</t>
  </si>
  <si>
    <t xml:space="preserve">      3. Wpływy z tytułu zdarzeń nadzwyczajnych</t>
  </si>
  <si>
    <t xml:space="preserve">      4. Pozostałe wpływy</t>
  </si>
  <si>
    <t>II. Wydatki z tytułu działalności operacyjnej</t>
  </si>
  <si>
    <t xml:space="preserve">      1. Nabycie:</t>
  </si>
  <si>
    <t xml:space="preserve">         a) towarów</t>
  </si>
  <si>
    <t xml:space="preserve">         b) materiałów</t>
  </si>
  <si>
    <t xml:space="preserve">      2. Zużycie energii</t>
  </si>
  <si>
    <t xml:space="preserve">      3. Nabycie usług obcych</t>
  </si>
  <si>
    <t xml:space="preserve">      4. Podatki i opłaty</t>
  </si>
  <si>
    <t xml:space="preserve">      5. Wynagrodzenia</t>
  </si>
  <si>
    <t xml:space="preserve">      6. Zapłata podatku dochodowego</t>
  </si>
  <si>
    <t xml:space="preserve">      7. Wydatki z tytułu pozostałych kosztów operacyjnych</t>
  </si>
  <si>
    <t xml:space="preserve">      8. Wydatki z tytułu zdarzeń nadzwyczajnych</t>
  </si>
  <si>
    <t xml:space="preserve">      9. Pozostałe wydatki</t>
  </si>
  <si>
    <t>A. Przepływy pieniężne netto z działalności operacyjnej (I+/-II) - metoda pośrednia</t>
  </si>
  <si>
    <t>I. Zysk (strata) netto</t>
  </si>
  <si>
    <t>II. Korekty razem</t>
  </si>
  <si>
    <t xml:space="preserve">      1. Zysk (strata) akcjonariuszy (udziałowców) mniejszościowych</t>
  </si>
  <si>
    <t xml:space="preserve">      2. Udział w (zyskach) stratach jednostek objętych konsolidacją  metodą praw własności  </t>
  </si>
  <si>
    <t xml:space="preserve">      3. Amortyzacja (w tym odpisy wartości firmy z konsolidacji lub rezerwy kapitałowej z konsolidacji)</t>
  </si>
  <si>
    <t xml:space="preserve">      4. (Zyski) straty z tytułu różnic kursowych</t>
  </si>
  <si>
    <t xml:space="preserve">      5. Odsetki i dywidendy</t>
  </si>
  <si>
    <t xml:space="preserve">      6. (Zysk) strata z tytułu działalności inwestycyjnej</t>
  </si>
  <si>
    <t xml:space="preserve">      7. Zmiana stanu pozostałych rezerw</t>
  </si>
  <si>
    <t xml:space="preserve">      8. Podatek dochodowy (wykazany w rachunku zysków i strat)</t>
  </si>
  <si>
    <t xml:space="preserve">      9. Podatek dochodowy zapłacony</t>
  </si>
  <si>
    <t xml:space="preserve">     10. Zmiana stanu zapasów</t>
  </si>
  <si>
    <t xml:space="preserve">     11. Zmiana stanu należności</t>
  </si>
  <si>
    <t xml:space="preserve">     12. Zmiana stanu zobowiązań krótkoterminowych (z wyjątkiem pożyczek i  kredytów)</t>
  </si>
  <si>
    <t xml:space="preserve">     13. Zmiana stanu rozliczeń międzyokresowych</t>
  </si>
  <si>
    <t xml:space="preserve">     14. Zmiana stanu przychodów przyszłych okresów</t>
  </si>
  <si>
    <t xml:space="preserve">     15. Pozostałe korekty</t>
  </si>
  <si>
    <t>B. Przepływy pieniężne netto z działalności inwestycyjnej (I-II)</t>
  </si>
  <si>
    <t>I. Wpływy z działalności inwestycyjnej</t>
  </si>
  <si>
    <t xml:space="preserve">      1. Sprzedaż składników wartości niematerialnych i prawnych</t>
  </si>
  <si>
    <t xml:space="preserve">      2. Sprzedaż składników rzeczowego majątku trwałego</t>
  </si>
  <si>
    <t xml:space="preserve">      3. Sprzedaż składników finansowego majątku trwałego, w tym:</t>
  </si>
  <si>
    <t xml:space="preserve">       - w jednostkach zależnych</t>
  </si>
  <si>
    <t xml:space="preserve">       - w jednostkach stowarzyszonych</t>
  </si>
  <si>
    <t xml:space="preserve">       - w jednostce dominującej</t>
  </si>
  <si>
    <t xml:space="preserve">      4. Sprzedaż papierów wartościowych przeznaczonych do obrotu</t>
  </si>
  <si>
    <t xml:space="preserve">      5. Spłata udzielonych pożyczek długoterminowych</t>
  </si>
  <si>
    <t xml:space="preserve">      6. Otrzymane dywidendy</t>
  </si>
  <si>
    <t xml:space="preserve">      7. Otrzymane odsetki</t>
  </si>
  <si>
    <t xml:space="preserve">      8 . Pozostałe wpływy</t>
  </si>
  <si>
    <t>II. Wydatki z tytułu działalności inwestycyjnej</t>
  </si>
  <si>
    <t xml:space="preserve">      1. Nabycie składników wartości niematerialnych i prawnych</t>
  </si>
  <si>
    <t xml:space="preserve">      2. Nabycie składników rzeczowego majątku trwałego</t>
  </si>
  <si>
    <t xml:space="preserve">      3. Nabycie składników finansowego majątku trwałego, w tym:</t>
  </si>
  <si>
    <t xml:space="preserve">      - w jednostkach zależnych</t>
  </si>
  <si>
    <t xml:space="preserve">      - w jednostkach stowarzyszonych</t>
  </si>
  <si>
    <t xml:space="preserve">      - w jednostce dominującej</t>
  </si>
  <si>
    <t xml:space="preserve">      4. Nabycie akcji (udziałów) własnych</t>
  </si>
  <si>
    <t xml:space="preserve">      5. Nabycie papierów wartościowych przeznaczonych do obrotu</t>
  </si>
  <si>
    <t xml:space="preserve">      6. Udzielone pożyczki długoterminowe</t>
  </si>
  <si>
    <t xml:space="preserve">      7. Dywidendy wypłacone akcjonariuszom (udziałowcom) mniejszościowym</t>
  </si>
  <si>
    <t xml:space="preserve">      8. Pozostałe wydatki</t>
  </si>
  <si>
    <t>C. Przepływy pieniężne netto z działalności finansowej (I-II)</t>
  </si>
  <si>
    <t>I. Wpływy z działalności finansowej</t>
  </si>
  <si>
    <t xml:space="preserve">      1. Zaciągnięcie długoterminowych kredytów i pożyczek</t>
  </si>
  <si>
    <t xml:space="preserve">      2. Emisja obligacji lub innych długoterminowych dłużnych papierów wartościowych</t>
  </si>
  <si>
    <t xml:space="preserve">      3. Zaciągnięcie krótkoterminowych kredytów i pożyczek </t>
  </si>
  <si>
    <t xml:space="preserve">      4. Emisja obligacji lub innych krótkoterminowych dłużnych papierów wartościowych</t>
  </si>
  <si>
    <t xml:space="preserve">      5. Wpływy z emisji akcji (udziałów) własnych </t>
  </si>
  <si>
    <t xml:space="preserve">      6. Dopłaty do kapitału</t>
  </si>
  <si>
    <t xml:space="preserve">      7. Pozostałe wpływy</t>
  </si>
  <si>
    <t>II. Wydatki z tytułu działalności finansowej</t>
  </si>
  <si>
    <t xml:space="preserve">      1. Spłata długoterminowych kredytów i pożyczek </t>
  </si>
  <si>
    <t xml:space="preserve">      2. Wykup obligacji lub innych długoterminowych dłużnych papierów wartościowych</t>
  </si>
  <si>
    <t xml:space="preserve">      3. Spłata krótkoterminowych kredytów bankowych i pożyczek</t>
  </si>
  <si>
    <t xml:space="preserve">      4. Wykup obligacji lub innych krótkoterminowych dłużnych papierów wartościowych</t>
  </si>
  <si>
    <t xml:space="preserve">      5. Koszty emisji akcji własnych</t>
  </si>
  <si>
    <t xml:space="preserve">      6. Umorzenie akcji (udziałów) własnych</t>
  </si>
  <si>
    <t xml:space="preserve">      7. Płatności dywidend i innych wypłat na rzecz właścicieli</t>
  </si>
  <si>
    <t xml:space="preserve">      8. Wypłaty z zysku dla osób zarządzających i nadzorujących</t>
  </si>
  <si>
    <t xml:space="preserve">      9. Wydatki na cele społecznie-użyteczne</t>
  </si>
  <si>
    <t xml:space="preserve">      10. Płatności zobowiązań z tytułu umów leasingu finansowego</t>
  </si>
  <si>
    <t xml:space="preserve">      11. Zapłacone odsetki</t>
  </si>
  <si>
    <t xml:space="preserve">      12. Pozostałe wydatki</t>
  </si>
  <si>
    <t>D. Przepływy pieniężne netto, razem (A+/-B+/-C)</t>
  </si>
  <si>
    <t>E. Bilansowa zmiana stanu środków pieniężnych</t>
  </si>
  <si>
    <t xml:space="preserve">    - w  tym zmiana stanu środków pieniężnych z tytułu różnic kursowych od walut obcych</t>
  </si>
  <si>
    <t>F. Środki pieniężne na początek okresu</t>
  </si>
  <si>
    <t>G. Środki pieniężne na koniec okresu (F+/- D)</t>
  </si>
  <si>
    <t xml:space="preserve">ZOBOWIĄZANIA POZABILANSOWE </t>
  </si>
  <si>
    <t>Zobowiązania pozabilansowe</t>
  </si>
  <si>
    <t>a) łączna wartość udzielonych gwarancji i poręczeń, w tym:</t>
  </si>
  <si>
    <t xml:space="preserve">    - na rzecz jednostek zależnych</t>
  </si>
  <si>
    <t xml:space="preserve">    - na rzecz jednostek stowarzyszonych</t>
  </si>
  <si>
    <t xml:space="preserve">    - na rzecz jednostki dominującej</t>
  </si>
  <si>
    <t>b) pozostałe zobowiązania pozabilansowe (z tytułu)</t>
  </si>
  <si>
    <t xml:space="preserve">   -</t>
  </si>
  <si>
    <t>Zobowiązania pozabilansowe, razem</t>
  </si>
  <si>
    <t xml:space="preserve">stan na          31.12.1998           koniec kwartału                     (rok poprz.)                         </t>
  </si>
  <si>
    <t xml:space="preserve">stan na          30.09.1998           koniec poprz.                   kwartału                     (rok poprz.)                  </t>
  </si>
  <si>
    <t xml:space="preserve">stan na            31.12.1999      koniec kwartału           (rok bieżący)              </t>
  </si>
  <si>
    <t xml:space="preserve">stan na           30.09.1999       koniec poprz.                   kwartału                    (rok bieżący)                           </t>
  </si>
  <si>
    <t xml:space="preserve">IV kwartał            okres             od 1.10.1999       do 31.12.1999 </t>
  </si>
  <si>
    <t>IV kwartały            narastająco              okres             od 1.01.1999       do 31.12.1999</t>
  </si>
  <si>
    <t>Zarząd Spółki     Frantschach Świecie S.A.</t>
  </si>
  <si>
    <t>podaje do wiadomości skonsolidowany raport kwartalny za IV kwartał 1999 roku</t>
  </si>
  <si>
    <t>dnia 27.01.1999</t>
  </si>
  <si>
    <t xml:space="preserve">IV kwartał          (rok bieżący)                         okres od 1.10.1999                     do 31.12.1999                              </t>
  </si>
  <si>
    <t xml:space="preserve">IV kwartały           narastająco          (rok bieżący.)                         okres od 1.01.1999                    do 31.12.1999                              </t>
  </si>
  <si>
    <t xml:space="preserve">IV kwartał          (rok poprz.)                         okres od 1.10.1998              do 31.12.1998                              </t>
  </si>
  <si>
    <t xml:space="preserve">IV kwartały            narastająco           (rok poprz.)                         okres             od 1.01.1998                          do 31.12.1998                              </t>
  </si>
  <si>
    <t>SA-QS  IV/1999</t>
  </si>
  <si>
    <t>V. Aktywa (stan na 31.12.1999)</t>
  </si>
  <si>
    <t>VI. Kapitał własny (stan na 31.12.1999)</t>
  </si>
  <si>
    <t>VII. Liczba akcji (stan na 31.12.1999)</t>
  </si>
  <si>
    <t xml:space="preserve">VIII. Wartość księgowa na jedną akcję (w zł) (stan na 31.12.1999) </t>
  </si>
  <si>
    <t xml:space="preserve">   - akredytywy</t>
  </si>
  <si>
    <t xml:space="preserve">   - transakcje zabezpieczające przed ryzykiem kursowym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</si>
</sst>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#,##0&quot;zł&quot;;\-#,##0&quot;zł&quot;"/>
    <numFmt numFmtId="172" formatCode="#,##0&quot;zł&quot;;[Red]\-#,##0&quot;zł&quot;"/>
    <numFmt numFmtId="173" formatCode="#,##0.00&quot;zł&quot;;\-#,##0.00&quot;zł&quot;"/>
    <numFmt numFmtId="174" formatCode="#,##0.00&quot;zł&quot;;[Red]\-#,##0.00&quot;zł&quot;"/>
    <numFmt numFmtId="175" formatCode="d\.m\.yy"/>
    <numFmt numFmtId="176" formatCode="d\.mmm\.yy"/>
    <numFmt numFmtId="177" formatCode="d\.mmm"/>
    <numFmt numFmtId="178" formatCode="mmm\.yy"/>
    <numFmt numFmtId="179" formatCode="d\.m\.yy\ h:mm"/>
    <numFmt numFmtId="180" formatCode="#,##0.0;[Red]\-#,##0.0"/>
    <numFmt numFmtId="181" formatCode="#,##0;\(#,##0\);\-"/>
    <numFmt numFmtId="182" formatCode="0.0000"/>
    <numFmt numFmtId="183" formatCode="0.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 CE"/>
      <family val="0"/>
    </font>
    <font>
      <sz val="9"/>
      <name val="Times New Roman"/>
      <family val="0"/>
    </font>
    <font>
      <b/>
      <sz val="9"/>
      <color indexed="8"/>
      <name val="Times New Roman CE"/>
      <family val="0"/>
    </font>
    <font>
      <b/>
      <sz val="8"/>
      <color indexed="8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1"/>
    </font>
    <font>
      <sz val="9"/>
      <color indexed="8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22"/>
        <bgColor indexed="55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/>
      <protection locked="0"/>
    </xf>
    <xf numFmtId="0" fontId="6" fillId="3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4" fillId="0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Continuous" vertical="top"/>
      <protection locked="0"/>
    </xf>
    <xf numFmtId="0" fontId="4" fillId="0" borderId="0" xfId="0" applyFont="1" applyAlignment="1">
      <alignment horizontal="centerContinuous" vertical="top"/>
    </xf>
    <xf numFmtId="0" fontId="5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4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justify" wrapText="1"/>
    </xf>
    <xf numFmtId="0" fontId="14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Continuous" vertical="top" wrapText="1"/>
    </xf>
    <xf numFmtId="0" fontId="7" fillId="5" borderId="5" xfId="0" applyFont="1" applyFill="1" applyBorder="1" applyAlignment="1">
      <alignment horizontal="centerContinuous" vertical="top" wrapText="1"/>
    </xf>
    <xf numFmtId="0" fontId="7" fillId="5" borderId="1" xfId="0" applyFont="1" applyFill="1" applyBorder="1" applyAlignment="1">
      <alignment horizontal="centerContinuous" vertical="top" wrapText="1"/>
    </xf>
    <xf numFmtId="0" fontId="15" fillId="0" borderId="0" xfId="0" applyFont="1" applyAlignment="1">
      <alignment horizontal="left" vertical="center"/>
    </xf>
    <xf numFmtId="181" fontId="16" fillId="0" borderId="1" xfId="0" applyNumberFormat="1" applyFont="1" applyFill="1" applyBorder="1" applyAlignment="1">
      <alignment horizontal="right" vertical="top" wrapText="1"/>
    </xf>
    <xf numFmtId="181" fontId="16" fillId="2" borderId="0" xfId="0" applyNumberFormat="1" applyFont="1" applyFill="1" applyBorder="1" applyAlignment="1">
      <alignment horizontal="right" vertical="top" wrapText="1"/>
    </xf>
    <xf numFmtId="181" fontId="4" fillId="0" borderId="1" xfId="0" applyNumberFormat="1" applyFont="1" applyBorder="1" applyAlignment="1" applyProtection="1">
      <alignment/>
      <protection locked="0"/>
    </xf>
    <xf numFmtId="181" fontId="4" fillId="0" borderId="1" xfId="0" applyNumberFormat="1" applyFont="1" applyFill="1" applyBorder="1" applyAlignment="1" applyProtection="1">
      <alignment/>
      <protection locked="0"/>
    </xf>
    <xf numFmtId="181" fontId="16" fillId="2" borderId="1" xfId="0" applyNumberFormat="1" applyFont="1" applyFill="1" applyBorder="1" applyAlignment="1">
      <alignment horizontal="right" vertical="top" wrapText="1"/>
    </xf>
    <xf numFmtId="181" fontId="4" fillId="2" borderId="1" xfId="0" applyNumberFormat="1" applyFont="1" applyFill="1" applyBorder="1" applyAlignment="1" applyProtection="1">
      <alignment horizontal="right"/>
      <protection locked="0"/>
    </xf>
    <xf numFmtId="181" fontId="16" fillId="3" borderId="1" xfId="0" applyNumberFormat="1" applyFont="1" applyFill="1" applyBorder="1" applyAlignment="1">
      <alignment horizontal="right" vertical="top" wrapText="1"/>
    </xf>
    <xf numFmtId="181" fontId="6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Border="1" applyAlignment="1" applyProtection="1">
      <alignment/>
      <protection locked="0"/>
    </xf>
    <xf numFmtId="4" fontId="4" fillId="0" borderId="1" xfId="0" applyNumberFormat="1" applyFont="1" applyBorder="1" applyAlignment="1" applyProtection="1">
      <alignment/>
      <protection locked="0"/>
    </xf>
    <xf numFmtId="4" fontId="16" fillId="0" borderId="1" xfId="0" applyNumberFormat="1" applyFont="1" applyFill="1" applyBorder="1" applyAlignment="1">
      <alignment horizontal="right" vertical="top" wrapText="1"/>
    </xf>
    <xf numFmtId="181" fontId="4" fillId="2" borderId="1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 [0]" xfId="15"/>
    <cellStyle name="Currency [0]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workbookViewId="0" topLeftCell="A193">
      <selection activeCell="E202" sqref="E202"/>
    </sheetView>
  </sheetViews>
  <sheetFormatPr defaultColWidth="9.140625" defaultRowHeight="12.75"/>
  <cols>
    <col min="1" max="1" width="3.140625" style="1" customWidth="1"/>
    <col min="2" max="2" width="50.57421875" style="10" customWidth="1"/>
    <col min="3" max="6" width="11.421875" style="1" customWidth="1"/>
    <col min="7" max="16384" width="9.140625" style="1" customWidth="1"/>
  </cols>
  <sheetData>
    <row r="1" spans="2:6" ht="12.75" customHeight="1">
      <c r="B1" s="36" t="s">
        <v>0</v>
      </c>
      <c r="C1" s="56" t="s">
        <v>198</v>
      </c>
      <c r="D1" s="16"/>
      <c r="E1" s="15"/>
      <c r="F1" s="15"/>
    </row>
    <row r="2" spans="2:6" ht="12.75" customHeight="1">
      <c r="B2" s="37"/>
      <c r="C2" s="17" t="s">
        <v>1</v>
      </c>
      <c r="D2" s="18"/>
      <c r="E2" s="15"/>
      <c r="F2" s="15"/>
    </row>
    <row r="3" spans="2:6" ht="14.25">
      <c r="B3" s="37"/>
      <c r="C3" s="19"/>
      <c r="D3" s="18"/>
      <c r="E3" s="15"/>
      <c r="F3" s="15"/>
    </row>
    <row r="4" spans="2:6" ht="15">
      <c r="B4" s="38" t="s">
        <v>2</v>
      </c>
      <c r="C4" s="20"/>
      <c r="D4" s="21"/>
      <c r="E4" s="22"/>
      <c r="F4" s="15"/>
    </row>
    <row r="5" spans="2:6" ht="12">
      <c r="B5" s="37"/>
      <c r="C5" s="23"/>
      <c r="D5" s="23"/>
      <c r="E5" s="23"/>
      <c r="F5" s="23"/>
    </row>
    <row r="6" spans="2:6" ht="12.75">
      <c r="B6" s="39" t="s">
        <v>3</v>
      </c>
      <c r="C6" s="24"/>
      <c r="D6" s="24"/>
      <c r="E6" s="24"/>
      <c r="F6" s="24"/>
    </row>
    <row r="7" spans="2:6" ht="12">
      <c r="B7" s="37"/>
      <c r="C7" s="15"/>
      <c r="D7" s="15"/>
      <c r="E7" s="15"/>
      <c r="F7" s="15"/>
    </row>
    <row r="8" spans="2:6" ht="12.75">
      <c r="B8" s="40" t="s">
        <v>191</v>
      </c>
      <c r="C8" s="25"/>
      <c r="D8" s="25"/>
      <c r="E8" s="25"/>
      <c r="F8" s="15"/>
    </row>
    <row r="9" spans="2:6" ht="12">
      <c r="B9" s="37"/>
      <c r="C9" s="15"/>
      <c r="D9" s="15"/>
      <c r="E9" s="15"/>
      <c r="F9" s="15"/>
    </row>
    <row r="10" spans="2:6" ht="12.75">
      <c r="B10" s="41" t="s">
        <v>192</v>
      </c>
      <c r="C10" s="26"/>
      <c r="D10" s="15"/>
      <c r="E10" s="23" t="s">
        <v>193</v>
      </c>
      <c r="F10" s="15"/>
    </row>
    <row r="11" spans="2:6" ht="12.75">
      <c r="B11" s="42"/>
      <c r="C11" s="26"/>
      <c r="D11" s="15"/>
      <c r="E11" s="30" t="s">
        <v>4</v>
      </c>
      <c r="F11" s="31"/>
    </row>
    <row r="12" spans="2:6" ht="12">
      <c r="B12" s="51"/>
      <c r="C12" s="53" t="s">
        <v>5</v>
      </c>
      <c r="D12" s="54"/>
      <c r="E12" s="55" t="s">
        <v>6</v>
      </c>
      <c r="F12" s="55"/>
    </row>
    <row r="13" spans="1:6" ht="51.75" customHeight="1">
      <c r="A13" s="24"/>
      <c r="B13" s="52" t="s">
        <v>7</v>
      </c>
      <c r="C13" s="49" t="s">
        <v>189</v>
      </c>
      <c r="D13" s="49" t="s">
        <v>190</v>
      </c>
      <c r="E13" s="49" t="s">
        <v>189</v>
      </c>
      <c r="F13" s="49" t="s">
        <v>190</v>
      </c>
    </row>
    <row r="14" spans="1:6" ht="12" customHeight="1">
      <c r="A14" s="24"/>
      <c r="B14" s="43" t="s">
        <v>8</v>
      </c>
      <c r="C14" s="57">
        <f>E66</f>
        <v>284778</v>
      </c>
      <c r="D14" s="57">
        <f>F66</f>
        <v>943972</v>
      </c>
      <c r="E14" s="57">
        <f>C14/4.3045</f>
        <v>66158.20652805203</v>
      </c>
      <c r="F14" s="57">
        <f>D14/4.235</f>
        <v>222897.75678866587</v>
      </c>
    </row>
    <row r="15" spans="1:6" ht="12.75">
      <c r="A15" s="28"/>
      <c r="B15" s="43" t="s">
        <v>9</v>
      </c>
      <c r="C15" s="57">
        <f>E83</f>
        <v>53272</v>
      </c>
      <c r="D15" s="57">
        <f>F83</f>
        <v>105134</v>
      </c>
      <c r="E15" s="57">
        <f>C15/4.3045</f>
        <v>12375.885701010571</v>
      </c>
      <c r="F15" s="57">
        <f>D15/4.235</f>
        <v>24825.029515938604</v>
      </c>
    </row>
    <row r="16" spans="1:6" ht="12.75">
      <c r="A16" s="28"/>
      <c r="B16" s="43" t="s">
        <v>10</v>
      </c>
      <c r="C16" s="57">
        <f>E89</f>
        <v>52618</v>
      </c>
      <c r="D16" s="57">
        <f>F89</f>
        <v>101989</v>
      </c>
      <c r="E16" s="57">
        <f>C16/4.3045</f>
        <v>12223.951678476013</v>
      </c>
      <c r="F16" s="57">
        <f>D16/4.235</f>
        <v>24082.408500590318</v>
      </c>
    </row>
    <row r="17" spans="2:6" ht="12">
      <c r="B17" s="43" t="s">
        <v>11</v>
      </c>
      <c r="C17" s="57">
        <f>E94</f>
        <v>44492</v>
      </c>
      <c r="D17" s="57">
        <f>F94</f>
        <v>88654</v>
      </c>
      <c r="E17" s="57">
        <f>C17/4.3045</f>
        <v>10336.159832733187</v>
      </c>
      <c r="F17" s="57">
        <f>D17/4.235</f>
        <v>20933.648170011806</v>
      </c>
    </row>
    <row r="18" spans="2:6" ht="12">
      <c r="B18" s="43" t="s">
        <v>199</v>
      </c>
      <c r="C18" s="57">
        <f>E41</f>
        <v>1006071</v>
      </c>
      <c r="D18" s="35"/>
      <c r="E18" s="57">
        <f>C18/4.1689</f>
        <v>241327.68835903957</v>
      </c>
      <c r="F18" s="35"/>
    </row>
    <row r="19" spans="2:6" ht="12">
      <c r="B19" s="43" t="s">
        <v>200</v>
      </c>
      <c r="C19" s="57">
        <f>E44</f>
        <v>831427</v>
      </c>
      <c r="D19" s="35"/>
      <c r="E19" s="57">
        <f>C19/4.1689</f>
        <v>199435.58252776513</v>
      </c>
      <c r="F19" s="35"/>
    </row>
    <row r="20" spans="2:6" ht="12">
      <c r="B20" s="43" t="s">
        <v>201</v>
      </c>
      <c r="C20" s="57">
        <v>50000000</v>
      </c>
      <c r="D20" s="35"/>
      <c r="E20" s="57">
        <v>50000000</v>
      </c>
      <c r="F20" s="35"/>
    </row>
    <row r="21" spans="2:6" ht="12" customHeight="1">
      <c r="B21" s="43" t="s">
        <v>202</v>
      </c>
      <c r="C21" s="67">
        <f>C19/C20*1000</f>
        <v>16.62854</v>
      </c>
      <c r="D21" s="35"/>
      <c r="E21" s="67">
        <f>E19/E20*1000</f>
        <v>3.988711650555303</v>
      </c>
      <c r="F21" s="35"/>
    </row>
    <row r="22" spans="1:6" ht="6" customHeight="1">
      <c r="A22" s="32"/>
      <c r="B22" s="37"/>
      <c r="C22" s="33"/>
      <c r="D22" s="33"/>
      <c r="E22" s="34"/>
      <c r="F22" s="34"/>
    </row>
    <row r="23" spans="2:6" ht="52.5">
      <c r="B23" s="50" t="s">
        <v>12</v>
      </c>
      <c r="C23" s="49" t="s">
        <v>185</v>
      </c>
      <c r="D23" s="49" t="s">
        <v>186</v>
      </c>
      <c r="E23" s="49" t="s">
        <v>187</v>
      </c>
      <c r="F23" s="49" t="s">
        <v>188</v>
      </c>
    </row>
    <row r="24" spans="2:6" ht="12.75">
      <c r="B24" s="44" t="s">
        <v>13</v>
      </c>
      <c r="C24" s="3"/>
      <c r="D24" s="3"/>
      <c r="E24" s="3"/>
      <c r="F24" s="3"/>
    </row>
    <row r="25" spans="2:6" ht="12">
      <c r="B25" s="45" t="s">
        <v>14</v>
      </c>
      <c r="C25" s="57">
        <f>SUM(C26:C31)</f>
        <v>675403</v>
      </c>
      <c r="D25" s="57">
        <v>0</v>
      </c>
      <c r="E25" s="57">
        <f>SUM(E26:E31)</f>
        <v>705332</v>
      </c>
      <c r="F25" s="57">
        <v>676868</v>
      </c>
    </row>
    <row r="26" spans="2:6" ht="12">
      <c r="B26" s="45" t="s">
        <v>15</v>
      </c>
      <c r="C26" s="57">
        <v>1398</v>
      </c>
      <c r="D26" s="57">
        <v>0</v>
      </c>
      <c r="E26" s="57">
        <v>1874</v>
      </c>
      <c r="F26" s="57">
        <v>1311</v>
      </c>
    </row>
    <row r="27" spans="2:6" ht="12">
      <c r="B27" s="45" t="s">
        <v>16</v>
      </c>
      <c r="C27" s="57">
        <v>0</v>
      </c>
      <c r="D27" s="57">
        <v>0</v>
      </c>
      <c r="E27" s="57">
        <v>0</v>
      </c>
      <c r="F27" s="57">
        <v>0</v>
      </c>
    </row>
    <row r="28" spans="2:6" ht="12">
      <c r="B28" s="45" t="s">
        <v>17</v>
      </c>
      <c r="C28" s="57">
        <v>672609</v>
      </c>
      <c r="D28" s="57">
        <v>0</v>
      </c>
      <c r="E28" s="57">
        <v>668797</v>
      </c>
      <c r="F28" s="57">
        <v>671317</v>
      </c>
    </row>
    <row r="29" spans="2:6" ht="12">
      <c r="B29" s="45" t="s">
        <v>18</v>
      </c>
      <c r="C29" s="57">
        <v>1247</v>
      </c>
      <c r="D29" s="57">
        <v>0</v>
      </c>
      <c r="E29" s="57">
        <v>34543</v>
      </c>
      <c r="F29" s="57">
        <v>4147</v>
      </c>
    </row>
    <row r="30" spans="2:6" ht="24">
      <c r="B30" s="45" t="s">
        <v>19</v>
      </c>
      <c r="C30" s="57">
        <v>0</v>
      </c>
      <c r="D30" s="57">
        <v>0</v>
      </c>
      <c r="E30" s="57">
        <v>0</v>
      </c>
      <c r="F30" s="57">
        <v>0</v>
      </c>
    </row>
    <row r="31" spans="2:6" ht="12">
      <c r="B31" s="45" t="s">
        <v>20</v>
      </c>
      <c r="C31" s="57">
        <v>149</v>
      </c>
      <c r="D31" s="57">
        <v>0</v>
      </c>
      <c r="E31" s="57">
        <v>118</v>
      </c>
      <c r="F31" s="57">
        <v>93</v>
      </c>
    </row>
    <row r="32" spans="2:6" ht="12">
      <c r="B32" s="45" t="s">
        <v>21</v>
      </c>
      <c r="C32" s="57">
        <f>SUM(C33:C37)</f>
        <v>223675</v>
      </c>
      <c r="D32" s="57">
        <v>0</v>
      </c>
      <c r="E32" s="57">
        <f>SUM(E33:E37)</f>
        <v>299335</v>
      </c>
      <c r="F32" s="57">
        <v>284903</v>
      </c>
    </row>
    <row r="33" spans="2:6" ht="12">
      <c r="B33" s="45" t="s">
        <v>22</v>
      </c>
      <c r="C33" s="57">
        <v>63647</v>
      </c>
      <c r="D33" s="57">
        <v>0</v>
      </c>
      <c r="E33" s="57">
        <v>60502</v>
      </c>
      <c r="F33" s="57">
        <v>53254</v>
      </c>
    </row>
    <row r="34" spans="2:6" ht="12">
      <c r="B34" s="45" t="s">
        <v>23</v>
      </c>
      <c r="C34" s="57">
        <v>134895</v>
      </c>
      <c r="D34" s="57">
        <v>0</v>
      </c>
      <c r="E34" s="57">
        <v>194817</v>
      </c>
      <c r="F34" s="57">
        <v>187184</v>
      </c>
    </row>
    <row r="35" spans="2:6" ht="12">
      <c r="B35" s="45" t="s">
        <v>24</v>
      </c>
      <c r="C35" s="57">
        <v>0</v>
      </c>
      <c r="D35" s="57">
        <v>0</v>
      </c>
      <c r="E35" s="57">
        <v>0</v>
      </c>
      <c r="F35" s="57">
        <v>0</v>
      </c>
    </row>
    <row r="36" spans="2:6" ht="12">
      <c r="B36" s="45" t="s">
        <v>25</v>
      </c>
      <c r="C36" s="57">
        <v>0</v>
      </c>
      <c r="D36" s="57">
        <v>0</v>
      </c>
      <c r="E36" s="57">
        <v>5950</v>
      </c>
      <c r="F36" s="57">
        <v>0</v>
      </c>
    </row>
    <row r="37" spans="2:6" ht="12">
      <c r="B37" s="45" t="s">
        <v>26</v>
      </c>
      <c r="C37" s="57">
        <v>25133</v>
      </c>
      <c r="D37" s="57">
        <v>0</v>
      </c>
      <c r="E37" s="57">
        <v>38066</v>
      </c>
      <c r="F37" s="57">
        <v>44465</v>
      </c>
    </row>
    <row r="38" spans="2:6" ht="12">
      <c r="B38" s="45" t="s">
        <v>27</v>
      </c>
      <c r="C38" s="57">
        <f>SUM(C39:C40)</f>
        <v>1050</v>
      </c>
      <c r="D38" s="57">
        <v>0</v>
      </c>
      <c r="E38" s="57">
        <v>1404</v>
      </c>
      <c r="F38" s="57">
        <v>1697</v>
      </c>
    </row>
    <row r="39" spans="2:6" ht="12">
      <c r="B39" s="45" t="s">
        <v>28</v>
      </c>
      <c r="C39" s="57">
        <v>0</v>
      </c>
      <c r="D39" s="57">
        <v>0</v>
      </c>
      <c r="E39" s="57">
        <v>0</v>
      </c>
      <c r="F39" s="57">
        <v>0</v>
      </c>
    </row>
    <row r="40" spans="2:6" ht="12">
      <c r="B40" s="45" t="s">
        <v>29</v>
      </c>
      <c r="C40" s="57">
        <v>1050</v>
      </c>
      <c r="D40" s="57">
        <v>0</v>
      </c>
      <c r="E40" s="57">
        <v>1404</v>
      </c>
      <c r="F40" s="57">
        <v>1697</v>
      </c>
    </row>
    <row r="41" spans="2:6" ht="12.75">
      <c r="B41" s="46" t="s">
        <v>30</v>
      </c>
      <c r="C41" s="57">
        <f>SUM(C25,C32,C38)</f>
        <v>900128</v>
      </c>
      <c r="D41" s="57">
        <v>0</v>
      </c>
      <c r="E41" s="57">
        <f>E25+E32+E38</f>
        <v>1006071</v>
      </c>
      <c r="F41" s="57">
        <v>963468</v>
      </c>
    </row>
    <row r="42" spans="1:6" ht="6" customHeight="1">
      <c r="A42" s="10"/>
      <c r="B42" s="14"/>
      <c r="C42" s="8"/>
      <c r="D42" s="57"/>
      <c r="E42" s="8"/>
      <c r="F42" s="58"/>
    </row>
    <row r="43" spans="2:6" ht="12.75">
      <c r="B43" s="46" t="s">
        <v>31</v>
      </c>
      <c r="C43" s="2"/>
      <c r="D43" s="57"/>
      <c r="E43" s="29"/>
      <c r="F43" s="57"/>
    </row>
    <row r="44" spans="2:6" ht="12">
      <c r="B44" s="45" t="s">
        <v>32</v>
      </c>
      <c r="C44" s="57">
        <f>SUM(C45:C53)</f>
        <v>752773</v>
      </c>
      <c r="D44" s="57">
        <v>0</v>
      </c>
      <c r="E44" s="57">
        <f>SUM(E45:E53)</f>
        <v>831427</v>
      </c>
      <c r="F44" s="57">
        <v>786934</v>
      </c>
    </row>
    <row r="45" spans="2:6" ht="12">
      <c r="B45" s="45" t="s">
        <v>33</v>
      </c>
      <c r="C45" s="57">
        <v>50000</v>
      </c>
      <c r="D45" s="57">
        <v>0</v>
      </c>
      <c r="E45" s="57">
        <v>50000</v>
      </c>
      <c r="F45" s="57">
        <v>50000</v>
      </c>
    </row>
    <row r="46" spans="2:7" ht="12" customHeight="1">
      <c r="B46" s="45" t="s">
        <v>34</v>
      </c>
      <c r="C46" s="57">
        <v>0</v>
      </c>
      <c r="D46" s="57">
        <v>0</v>
      </c>
      <c r="E46" s="57">
        <v>0</v>
      </c>
      <c r="F46" s="57">
        <v>0</v>
      </c>
      <c r="G46" s="4"/>
    </row>
    <row r="47" spans="2:6" ht="12">
      <c r="B47" s="47" t="s">
        <v>35</v>
      </c>
      <c r="C47" s="57">
        <v>477869</v>
      </c>
      <c r="D47" s="57">
        <v>0</v>
      </c>
      <c r="E47" s="57">
        <v>510618</v>
      </c>
      <c r="F47" s="57">
        <v>507398</v>
      </c>
    </row>
    <row r="48" spans="2:6" ht="12">
      <c r="B48" s="45" t="s">
        <v>36</v>
      </c>
      <c r="C48" s="57">
        <v>191175</v>
      </c>
      <c r="D48" s="57">
        <v>0</v>
      </c>
      <c r="E48" s="57">
        <v>182155</v>
      </c>
      <c r="F48" s="57">
        <v>185374</v>
      </c>
    </row>
    <row r="49" spans="2:6" ht="12">
      <c r="B49" s="45" t="s">
        <v>37</v>
      </c>
      <c r="C49" s="57">
        <v>0</v>
      </c>
      <c r="D49" s="57">
        <v>0</v>
      </c>
      <c r="E49" s="57">
        <v>0</v>
      </c>
      <c r="F49" s="57">
        <v>0</v>
      </c>
    </row>
    <row r="50" spans="2:6" ht="24">
      <c r="B50" s="45" t="s">
        <v>38</v>
      </c>
      <c r="C50" s="57">
        <v>0</v>
      </c>
      <c r="D50" s="57">
        <v>0</v>
      </c>
      <c r="E50" s="57">
        <v>0</v>
      </c>
      <c r="F50" s="57">
        <v>0</v>
      </c>
    </row>
    <row r="51" spans="2:6" ht="12">
      <c r="B51" s="45" t="s">
        <v>39</v>
      </c>
      <c r="C51" s="57">
        <v>0</v>
      </c>
      <c r="D51" s="57">
        <v>0</v>
      </c>
      <c r="E51" s="57">
        <v>0</v>
      </c>
      <c r="F51" s="57">
        <v>0</v>
      </c>
    </row>
    <row r="52" spans="2:6" ht="12" customHeight="1">
      <c r="B52" s="45" t="s">
        <v>40</v>
      </c>
      <c r="C52" s="57">
        <v>-15073</v>
      </c>
      <c r="D52" s="57">
        <v>0</v>
      </c>
      <c r="E52" s="57">
        <v>0</v>
      </c>
      <c r="F52" s="57">
        <v>0</v>
      </c>
    </row>
    <row r="53" spans="2:6" ht="12" customHeight="1">
      <c r="B53" s="45" t="s">
        <v>41</v>
      </c>
      <c r="C53" s="57">
        <v>48802</v>
      </c>
      <c r="D53" s="57">
        <v>0</v>
      </c>
      <c r="E53" s="57">
        <v>88654</v>
      </c>
      <c r="F53" s="57">
        <v>44162</v>
      </c>
    </row>
    <row r="54" spans="2:6" ht="12" customHeight="1">
      <c r="B54" s="45" t="s">
        <v>42</v>
      </c>
      <c r="C54" s="57">
        <v>0</v>
      </c>
      <c r="D54" s="57">
        <v>0</v>
      </c>
      <c r="E54" s="57">
        <v>0</v>
      </c>
      <c r="F54" s="57">
        <v>0</v>
      </c>
    </row>
    <row r="55" spans="2:6" ht="12" customHeight="1">
      <c r="B55" s="45" t="s">
        <v>43</v>
      </c>
      <c r="C55" s="57">
        <v>0</v>
      </c>
      <c r="D55" s="57">
        <v>0</v>
      </c>
      <c r="E55" s="57">
        <v>3</v>
      </c>
      <c r="F55" s="57">
        <v>0</v>
      </c>
    </row>
    <row r="56" spans="2:6" ht="12" customHeight="1">
      <c r="B56" s="45" t="s">
        <v>44</v>
      </c>
      <c r="C56" s="57">
        <f>SUM(C57:C58)</f>
        <v>41950</v>
      </c>
      <c r="D56" s="57">
        <v>0</v>
      </c>
      <c r="E56" s="57">
        <v>43523</v>
      </c>
      <c r="F56" s="57">
        <v>31754</v>
      </c>
    </row>
    <row r="57" spans="1:8" ht="12" customHeight="1">
      <c r="A57" s="4"/>
      <c r="B57" s="45" t="s">
        <v>45</v>
      </c>
      <c r="C57" s="57">
        <v>41950</v>
      </c>
      <c r="D57" s="57">
        <v>0</v>
      </c>
      <c r="E57" s="57">
        <v>35647</v>
      </c>
      <c r="F57" s="57">
        <v>31754</v>
      </c>
      <c r="H57"/>
    </row>
    <row r="58" spans="1:6" ht="12" customHeight="1">
      <c r="A58" s="4"/>
      <c r="B58" s="45" t="s">
        <v>46</v>
      </c>
      <c r="C58" s="57">
        <v>0</v>
      </c>
      <c r="D58" s="57">
        <v>0</v>
      </c>
      <c r="E58" s="57">
        <v>7876</v>
      </c>
      <c r="F58" s="57">
        <v>0</v>
      </c>
    </row>
    <row r="59" spans="2:6" ht="12" customHeight="1">
      <c r="B59" s="45" t="s">
        <v>47</v>
      </c>
      <c r="C59" s="57">
        <f>SUM(C60:C61)</f>
        <v>76487</v>
      </c>
      <c r="D59" s="57">
        <v>0</v>
      </c>
      <c r="E59" s="57">
        <v>109005</v>
      </c>
      <c r="F59" s="57">
        <v>93977</v>
      </c>
    </row>
    <row r="60" spans="2:6" ht="12" customHeight="1">
      <c r="B60" s="45" t="s">
        <v>48</v>
      </c>
      <c r="C60" s="57">
        <v>0</v>
      </c>
      <c r="D60" s="57">
        <v>0</v>
      </c>
      <c r="E60" s="57">
        <v>5951</v>
      </c>
      <c r="F60" s="57">
        <v>0</v>
      </c>
    </row>
    <row r="61" spans="2:6" ht="12" customHeight="1">
      <c r="B61" s="45" t="s">
        <v>49</v>
      </c>
      <c r="C61" s="57">
        <v>76487</v>
      </c>
      <c r="D61" s="57">
        <v>0</v>
      </c>
      <c r="E61" s="57">
        <v>103054</v>
      </c>
      <c r="F61" s="57">
        <v>93977</v>
      </c>
    </row>
    <row r="62" spans="2:6" ht="12" customHeight="1">
      <c r="B62" s="45" t="s">
        <v>50</v>
      </c>
      <c r="C62" s="57">
        <v>28918</v>
      </c>
      <c r="D62" s="57">
        <v>0</v>
      </c>
      <c r="E62" s="57">
        <v>22113</v>
      </c>
      <c r="F62" s="57">
        <v>50803</v>
      </c>
    </row>
    <row r="63" spans="2:6" ht="12.75">
      <c r="B63" s="46" t="s">
        <v>51</v>
      </c>
      <c r="C63" s="57">
        <f>SUM(C44,C54:C56,C59,C62)</f>
        <v>900128</v>
      </c>
      <c r="D63" s="57">
        <v>0</v>
      </c>
      <c r="E63" s="57">
        <f>E44+E54+E55+E56+E59+E62</f>
        <v>1006071</v>
      </c>
      <c r="F63" s="57">
        <v>963468</v>
      </c>
    </row>
    <row r="64" spans="2:6" ht="6" customHeight="1">
      <c r="B64" s="14"/>
      <c r="C64" s="8"/>
      <c r="D64" s="5"/>
      <c r="E64" s="8"/>
      <c r="F64" s="5"/>
    </row>
    <row r="65" spans="2:6" ht="63" customHeight="1">
      <c r="B65" s="50" t="s">
        <v>52</v>
      </c>
      <c r="C65" s="49" t="s">
        <v>196</v>
      </c>
      <c r="D65" s="49" t="s">
        <v>197</v>
      </c>
      <c r="E65" s="49" t="s">
        <v>194</v>
      </c>
      <c r="F65" s="49" t="s">
        <v>195</v>
      </c>
    </row>
    <row r="66" spans="2:6" ht="12" customHeight="1">
      <c r="B66" s="45" t="s">
        <v>8</v>
      </c>
      <c r="C66" s="59">
        <v>0</v>
      </c>
      <c r="D66" s="61">
        <f>SUM(D67:D68)</f>
        <v>851498</v>
      </c>
      <c r="E66" s="61">
        <f>F66-659194</f>
        <v>284778</v>
      </c>
      <c r="F66" s="61">
        <v>943972</v>
      </c>
    </row>
    <row r="67" spans="2:6" ht="12" customHeight="1">
      <c r="B67" s="45" t="s">
        <v>53</v>
      </c>
      <c r="C67" s="59">
        <v>0</v>
      </c>
      <c r="D67" s="61">
        <v>847299</v>
      </c>
      <c r="E67" s="61">
        <f>F67-655563</f>
        <v>275729</v>
      </c>
      <c r="F67" s="61">
        <v>931292</v>
      </c>
    </row>
    <row r="68" spans="2:6" ht="12" customHeight="1">
      <c r="B68" s="45" t="s">
        <v>54</v>
      </c>
      <c r="C68" s="59">
        <v>0</v>
      </c>
      <c r="D68" s="61">
        <v>4199</v>
      </c>
      <c r="E68" s="61">
        <f>F68-3631</f>
        <v>9049</v>
      </c>
      <c r="F68" s="61">
        <v>12680</v>
      </c>
    </row>
    <row r="69" spans="2:6" ht="12" customHeight="1">
      <c r="B69" s="45" t="s">
        <v>55</v>
      </c>
      <c r="C69" s="59">
        <v>0</v>
      </c>
      <c r="D69" s="61">
        <f>SUM(D70:D71)</f>
        <v>618573</v>
      </c>
      <c r="E69" s="61">
        <f>F69-460116</f>
        <v>164786</v>
      </c>
      <c r="F69" s="61">
        <v>624902</v>
      </c>
    </row>
    <row r="70" spans="2:6" ht="12" customHeight="1">
      <c r="B70" s="45" t="s">
        <v>56</v>
      </c>
      <c r="C70" s="59">
        <v>0</v>
      </c>
      <c r="D70" s="61">
        <v>609059</v>
      </c>
      <c r="E70" s="61">
        <f>F70-452218</f>
        <v>156528</v>
      </c>
      <c r="F70" s="61">
        <v>608746</v>
      </c>
    </row>
    <row r="71" spans="2:6" ht="12" customHeight="1">
      <c r="B71" s="45" t="s">
        <v>57</v>
      </c>
      <c r="C71" s="59">
        <v>0</v>
      </c>
      <c r="D71" s="61">
        <v>9514</v>
      </c>
      <c r="E71" s="61">
        <f>F71-7898</f>
        <v>8258</v>
      </c>
      <c r="F71" s="61">
        <v>16156</v>
      </c>
    </row>
    <row r="72" spans="2:6" ht="12" customHeight="1">
      <c r="B72" s="45" t="s">
        <v>58</v>
      </c>
      <c r="C72" s="59">
        <v>0</v>
      </c>
      <c r="D72" s="61">
        <f>D66-D69</f>
        <v>232925</v>
      </c>
      <c r="E72" s="61">
        <f>F72-199078</f>
        <v>119992</v>
      </c>
      <c r="F72" s="61">
        <v>319070</v>
      </c>
    </row>
    <row r="73" spans="2:6" ht="12" customHeight="1">
      <c r="B73" s="45" t="s">
        <v>59</v>
      </c>
      <c r="C73" s="59">
        <v>0</v>
      </c>
      <c r="D73" s="61">
        <v>66469</v>
      </c>
      <c r="E73" s="61">
        <f>F73-66297</f>
        <v>25318</v>
      </c>
      <c r="F73" s="61">
        <v>91615</v>
      </c>
    </row>
    <row r="74" spans="2:6" ht="12" customHeight="1">
      <c r="B74" s="45" t="s">
        <v>60</v>
      </c>
      <c r="C74" s="59">
        <v>0</v>
      </c>
      <c r="D74" s="61">
        <v>97171</v>
      </c>
      <c r="E74" s="61">
        <f>F74-87274</f>
        <v>16703</v>
      </c>
      <c r="F74" s="61">
        <v>103977</v>
      </c>
    </row>
    <row r="75" spans="2:6" ht="12" customHeight="1">
      <c r="B75" s="45" t="s">
        <v>61</v>
      </c>
      <c r="C75" s="59">
        <v>0</v>
      </c>
      <c r="D75" s="62">
        <f>D72-D73-D74</f>
        <v>69285</v>
      </c>
      <c r="E75" s="61">
        <f>F75-45507</f>
        <v>77971</v>
      </c>
      <c r="F75" s="61">
        <v>123478</v>
      </c>
    </row>
    <row r="76" spans="2:6" ht="12" customHeight="1">
      <c r="B76" s="45" t="s">
        <v>62</v>
      </c>
      <c r="C76" s="59">
        <v>0</v>
      </c>
      <c r="D76" s="62">
        <v>3972</v>
      </c>
      <c r="E76" s="61">
        <f>F76-4704</f>
        <v>1173</v>
      </c>
      <c r="F76" s="61">
        <v>5877</v>
      </c>
    </row>
    <row r="77" spans="2:6" ht="12" customHeight="1">
      <c r="B77" s="45" t="s">
        <v>63</v>
      </c>
      <c r="C77" s="59">
        <v>0</v>
      </c>
      <c r="D77" s="62">
        <v>11666</v>
      </c>
      <c r="E77" s="61">
        <f>F77-3055</f>
        <v>26777</v>
      </c>
      <c r="F77" s="61">
        <v>29832</v>
      </c>
    </row>
    <row r="78" spans="2:6" ht="12" customHeight="1">
      <c r="B78" s="45" t="s">
        <v>64</v>
      </c>
      <c r="C78" s="59">
        <v>0</v>
      </c>
      <c r="D78" s="62">
        <f>D75+D76-D77</f>
        <v>61591</v>
      </c>
      <c r="E78" s="61">
        <f>F78-47156</f>
        <v>52367</v>
      </c>
      <c r="F78" s="61">
        <v>99523</v>
      </c>
    </row>
    <row r="79" spans="2:6" ht="12" customHeight="1">
      <c r="B79" s="45" t="s">
        <v>65</v>
      </c>
      <c r="C79" s="59">
        <v>0</v>
      </c>
      <c r="D79" s="62">
        <v>211</v>
      </c>
      <c r="E79" s="61">
        <f>F79-40</f>
        <v>0</v>
      </c>
      <c r="F79" s="61">
        <v>40</v>
      </c>
    </row>
    <row r="80" spans="2:6" ht="12" customHeight="1">
      <c r="B80" s="45" t="s">
        <v>66</v>
      </c>
      <c r="C80" s="59">
        <v>0</v>
      </c>
      <c r="D80" s="62">
        <v>0</v>
      </c>
      <c r="E80" s="61">
        <f>F80-0</f>
        <v>0</v>
      </c>
      <c r="F80" s="61">
        <v>0</v>
      </c>
    </row>
    <row r="81" spans="2:6" ht="12" customHeight="1">
      <c r="B81" s="45" t="s">
        <v>67</v>
      </c>
      <c r="C81" s="59">
        <v>0</v>
      </c>
      <c r="D81" s="62">
        <v>17014</v>
      </c>
      <c r="E81" s="61">
        <f>F81-13420</f>
        <v>7550</v>
      </c>
      <c r="F81" s="61">
        <v>20970</v>
      </c>
    </row>
    <row r="82" spans="2:6" ht="12" customHeight="1">
      <c r="B82" s="45" t="s">
        <v>68</v>
      </c>
      <c r="C82" s="59">
        <v>0</v>
      </c>
      <c r="D82" s="63">
        <v>12553</v>
      </c>
      <c r="E82" s="61">
        <f>F82-8754</f>
        <v>6645</v>
      </c>
      <c r="F82" s="61">
        <v>15399</v>
      </c>
    </row>
    <row r="83" spans="2:6" ht="12" customHeight="1">
      <c r="B83" s="45" t="s">
        <v>69</v>
      </c>
      <c r="C83" s="59">
        <v>0</v>
      </c>
      <c r="D83" s="62">
        <f>D78+D79+D80+D81-D82</f>
        <v>66263</v>
      </c>
      <c r="E83" s="61">
        <f>F83-51862</f>
        <v>53272</v>
      </c>
      <c r="F83" s="61">
        <v>105134</v>
      </c>
    </row>
    <row r="84" spans="2:6" ht="12">
      <c r="B84" s="45" t="s">
        <v>70</v>
      </c>
      <c r="C84" s="59">
        <v>0</v>
      </c>
      <c r="D84" s="62">
        <f>D85-D86</f>
        <v>-4077</v>
      </c>
      <c r="E84" s="61">
        <f>F84--2491</f>
        <v>-654</v>
      </c>
      <c r="F84" s="61">
        <v>-3145</v>
      </c>
    </row>
    <row r="85" spans="2:6" ht="12">
      <c r="B85" s="45" t="s">
        <v>71</v>
      </c>
      <c r="C85" s="59">
        <v>0</v>
      </c>
      <c r="D85" s="62">
        <v>223</v>
      </c>
      <c r="E85" s="61">
        <f>F85-47</f>
        <v>22</v>
      </c>
      <c r="F85" s="61">
        <v>69</v>
      </c>
    </row>
    <row r="86" spans="2:6" ht="12">
      <c r="B86" s="45" t="s">
        <v>72</v>
      </c>
      <c r="C86" s="59">
        <v>0</v>
      </c>
      <c r="D86" s="62">
        <v>4300</v>
      </c>
      <c r="E86" s="61">
        <f>F86-2538</f>
        <v>676</v>
      </c>
      <c r="F86" s="61">
        <v>3214</v>
      </c>
    </row>
    <row r="87" spans="2:6" ht="12">
      <c r="B87" s="45" t="s">
        <v>73</v>
      </c>
      <c r="C87" s="59">
        <v>0</v>
      </c>
      <c r="D87" s="62">
        <v>0</v>
      </c>
      <c r="E87" s="61">
        <f>F87-0</f>
        <v>0</v>
      </c>
      <c r="F87" s="61">
        <v>0</v>
      </c>
    </row>
    <row r="88" spans="2:6" ht="12">
      <c r="B88" s="45" t="s">
        <v>74</v>
      </c>
      <c r="C88" s="59">
        <v>0</v>
      </c>
      <c r="D88" s="62">
        <v>0</v>
      </c>
      <c r="E88" s="61">
        <f>F88-0</f>
        <v>0</v>
      </c>
      <c r="F88" s="61">
        <v>0</v>
      </c>
    </row>
    <row r="89" spans="2:6" ht="12">
      <c r="B89" s="45" t="s">
        <v>75</v>
      </c>
      <c r="C89" s="59">
        <v>0</v>
      </c>
      <c r="D89" s="62">
        <f>D83+D84</f>
        <v>62186</v>
      </c>
      <c r="E89" s="61">
        <f>F89-49371</f>
        <v>52618</v>
      </c>
      <c r="F89" s="61">
        <v>101989</v>
      </c>
    </row>
    <row r="90" spans="2:6" ht="12" customHeight="1">
      <c r="B90" s="45" t="s">
        <v>76</v>
      </c>
      <c r="C90" s="59">
        <v>0</v>
      </c>
      <c r="D90" s="62">
        <v>13384</v>
      </c>
      <c r="E90" s="61">
        <f>F90-5209</f>
        <v>8123</v>
      </c>
      <c r="F90" s="61">
        <v>13332</v>
      </c>
    </row>
    <row r="91" spans="2:6" ht="12" customHeight="1">
      <c r="B91" s="45" t="s">
        <v>77</v>
      </c>
      <c r="C91" s="59">
        <v>0</v>
      </c>
      <c r="D91" s="62">
        <v>0</v>
      </c>
      <c r="E91" s="61">
        <f>F91-0</f>
        <v>0</v>
      </c>
      <c r="F91" s="61"/>
    </row>
    <row r="92" spans="2:6" ht="24">
      <c r="B92" s="45" t="s">
        <v>78</v>
      </c>
      <c r="C92" s="59">
        <v>0</v>
      </c>
      <c r="D92" s="63">
        <v>0</v>
      </c>
      <c r="E92" s="61">
        <f>F92-0</f>
        <v>0</v>
      </c>
      <c r="F92" s="61"/>
    </row>
    <row r="93" spans="2:6" ht="12" customHeight="1">
      <c r="B93" s="45" t="s">
        <v>79</v>
      </c>
      <c r="C93" s="59">
        <v>0</v>
      </c>
      <c r="D93" s="62">
        <v>0</v>
      </c>
      <c r="E93" s="61">
        <f>F93-0</f>
        <v>3</v>
      </c>
      <c r="F93" s="61">
        <v>3</v>
      </c>
    </row>
    <row r="94" spans="2:6" ht="12" customHeight="1">
      <c r="B94" s="45" t="s">
        <v>80</v>
      </c>
      <c r="C94" s="59">
        <v>0</v>
      </c>
      <c r="D94" s="62">
        <f>D89-D90</f>
        <v>48802</v>
      </c>
      <c r="E94" s="61">
        <f>F94-44162</f>
        <v>44492</v>
      </c>
      <c r="F94" s="61">
        <v>88654</v>
      </c>
    </row>
    <row r="95" spans="2:6" ht="6" customHeight="1">
      <c r="B95" s="14"/>
      <c r="C95" s="8"/>
      <c r="D95" s="6"/>
      <c r="E95" s="8"/>
      <c r="F95" s="6"/>
    </row>
    <row r="96" spans="2:6" ht="12">
      <c r="B96" s="45" t="s">
        <v>81</v>
      </c>
      <c r="C96" s="59">
        <f>D94</f>
        <v>48802</v>
      </c>
      <c r="D96" s="35"/>
      <c r="E96" s="59">
        <f>F94</f>
        <v>88654</v>
      </c>
      <c r="F96" s="35"/>
    </row>
    <row r="97" spans="2:6" ht="12">
      <c r="B97" s="45" t="s">
        <v>82</v>
      </c>
      <c r="C97" s="65">
        <v>50000000</v>
      </c>
      <c r="D97" s="35"/>
      <c r="E97" s="65">
        <v>50000000</v>
      </c>
      <c r="F97" s="35"/>
    </row>
    <row r="98" spans="2:6" ht="12">
      <c r="B98" s="45" t="s">
        <v>83</v>
      </c>
      <c r="C98" s="66">
        <f>C96/C97*1000</f>
        <v>0.9760399999999999</v>
      </c>
      <c r="D98" s="35"/>
      <c r="E98" s="66">
        <f>E96/E97*1000</f>
        <v>1.77308</v>
      </c>
      <c r="F98" s="35"/>
    </row>
    <row r="99" spans="2:6" ht="6" customHeight="1">
      <c r="B99" s="14"/>
      <c r="C99" s="5"/>
      <c r="D99" s="11"/>
      <c r="E99" s="7"/>
      <c r="F99" s="11"/>
    </row>
    <row r="100" spans="2:6" ht="63" customHeight="1">
      <c r="B100" s="50" t="s">
        <v>84</v>
      </c>
      <c r="C100" s="49" t="s">
        <v>196</v>
      </c>
      <c r="D100" s="49" t="s">
        <v>197</v>
      </c>
      <c r="E100" s="49" t="s">
        <v>194</v>
      </c>
      <c r="F100" s="49" t="s">
        <v>195</v>
      </c>
    </row>
    <row r="101" spans="2:6" ht="24" customHeight="1">
      <c r="B101" s="48" t="s">
        <v>85</v>
      </c>
      <c r="C101" s="2"/>
      <c r="D101" s="12"/>
      <c r="E101" s="2"/>
      <c r="F101" s="12"/>
    </row>
    <row r="102" spans="2:6" ht="12" customHeight="1">
      <c r="B102" s="48" t="s">
        <v>86</v>
      </c>
      <c r="C102" s="2"/>
      <c r="D102" s="12"/>
      <c r="E102" s="2"/>
      <c r="F102" s="12"/>
    </row>
    <row r="103" spans="2:6" ht="12" customHeight="1">
      <c r="B103" s="48" t="s">
        <v>87</v>
      </c>
      <c r="C103" s="2"/>
      <c r="D103" s="12"/>
      <c r="E103" s="2"/>
      <c r="F103" s="12"/>
    </row>
    <row r="104" spans="2:6" ht="12" customHeight="1">
      <c r="B104" s="48" t="s">
        <v>88</v>
      </c>
      <c r="C104" s="2"/>
      <c r="D104" s="12"/>
      <c r="E104" s="2"/>
      <c r="F104" s="12"/>
    </row>
    <row r="105" spans="2:6" ht="12" customHeight="1">
      <c r="B105" s="48" t="s">
        <v>89</v>
      </c>
      <c r="C105" s="2"/>
      <c r="D105" s="12"/>
      <c r="E105" s="2"/>
      <c r="F105" s="12"/>
    </row>
    <row r="106" spans="2:6" ht="12" customHeight="1">
      <c r="B106" s="48" t="s">
        <v>90</v>
      </c>
      <c r="C106" s="2"/>
      <c r="D106" s="12"/>
      <c r="E106" s="2"/>
      <c r="F106" s="12"/>
    </row>
    <row r="107" spans="2:6" ht="12" customHeight="1">
      <c r="B107" s="48" t="s">
        <v>91</v>
      </c>
      <c r="C107" s="2"/>
      <c r="D107" s="12"/>
      <c r="E107" s="2"/>
      <c r="F107" s="12"/>
    </row>
    <row r="108" spans="2:6" ht="12" customHeight="1">
      <c r="B108" s="48" t="s">
        <v>92</v>
      </c>
      <c r="C108" s="2"/>
      <c r="D108" s="12"/>
      <c r="E108" s="2"/>
      <c r="F108" s="12"/>
    </row>
    <row r="109" spans="2:6" ht="12" customHeight="1">
      <c r="B109" s="48" t="s">
        <v>93</v>
      </c>
      <c r="C109" s="3"/>
      <c r="D109" s="13"/>
      <c r="E109" s="3"/>
      <c r="F109" s="13"/>
    </row>
    <row r="110" spans="2:6" ht="12" customHeight="1">
      <c r="B110" s="48" t="s">
        <v>94</v>
      </c>
      <c r="C110" s="2"/>
      <c r="D110" s="12"/>
      <c r="E110" s="2"/>
      <c r="F110" s="12"/>
    </row>
    <row r="111" spans="2:6" ht="12" customHeight="1">
      <c r="B111" s="48" t="s">
        <v>95</v>
      </c>
      <c r="C111" s="2"/>
      <c r="D111" s="12"/>
      <c r="E111" s="2"/>
      <c r="F111" s="12"/>
    </row>
    <row r="112" spans="2:6" ht="12" customHeight="1">
      <c r="B112" s="48" t="s">
        <v>96</v>
      </c>
      <c r="C112" s="2"/>
      <c r="D112" s="12"/>
      <c r="E112" s="2"/>
      <c r="F112" s="12"/>
    </row>
    <row r="113" spans="2:6" ht="12" customHeight="1">
      <c r="B113" s="48" t="s">
        <v>97</v>
      </c>
      <c r="C113" s="2"/>
      <c r="D113" s="12"/>
      <c r="E113" s="2"/>
      <c r="F113" s="12"/>
    </row>
    <row r="114" spans="2:6" ht="12" customHeight="1">
      <c r="B114" s="48" t="s">
        <v>98</v>
      </c>
      <c r="C114" s="2"/>
      <c r="D114" s="12"/>
      <c r="E114" s="2"/>
      <c r="F114" s="12"/>
    </row>
    <row r="115" spans="2:6" ht="12" customHeight="1">
      <c r="B115" s="48" t="s">
        <v>99</v>
      </c>
      <c r="C115" s="2"/>
      <c r="D115" s="12"/>
      <c r="E115" s="2"/>
      <c r="F115" s="12"/>
    </row>
    <row r="116" spans="2:6" ht="12" customHeight="1">
      <c r="B116" s="48" t="s">
        <v>100</v>
      </c>
      <c r="C116" s="2"/>
      <c r="D116" s="12"/>
      <c r="E116" s="2"/>
      <c r="F116" s="12"/>
    </row>
    <row r="117" spans="2:6" ht="12" customHeight="1">
      <c r="B117" s="48" t="s">
        <v>101</v>
      </c>
      <c r="C117" s="2"/>
      <c r="D117" s="12"/>
      <c r="E117" s="2"/>
      <c r="F117" s="12"/>
    </row>
    <row r="118" spans="2:6" ht="12" customHeight="1">
      <c r="B118" s="48" t="s">
        <v>102</v>
      </c>
      <c r="C118" s="2"/>
      <c r="D118" s="12"/>
      <c r="E118" s="2"/>
      <c r="F118" s="12"/>
    </row>
    <row r="119" spans="2:6" ht="12" customHeight="1">
      <c r="B119" s="48" t="s">
        <v>103</v>
      </c>
      <c r="C119" s="3"/>
      <c r="D119" s="13"/>
      <c r="E119" s="3"/>
      <c r="F119" s="13"/>
    </row>
    <row r="120" spans="2:6" ht="12" customHeight="1">
      <c r="B120" s="48" t="s">
        <v>104</v>
      </c>
      <c r="C120" s="2"/>
      <c r="D120" s="12"/>
      <c r="E120" s="2"/>
      <c r="F120" s="12"/>
    </row>
    <row r="121" spans="2:6" ht="12" customHeight="1">
      <c r="B121" s="48" t="s">
        <v>105</v>
      </c>
      <c r="C121" s="2"/>
      <c r="D121" s="12"/>
      <c r="E121" s="2"/>
      <c r="F121" s="12"/>
    </row>
    <row r="122" spans="2:6" ht="24" customHeight="1">
      <c r="B122" s="45" t="s">
        <v>106</v>
      </c>
      <c r="C122" s="59">
        <v>0</v>
      </c>
      <c r="D122" s="62">
        <v>104238.3</v>
      </c>
      <c r="E122" s="62">
        <f>F122-84264</f>
        <v>62265</v>
      </c>
      <c r="F122" s="68">
        <v>146529</v>
      </c>
    </row>
    <row r="123" spans="2:6" ht="12" customHeight="1">
      <c r="B123" s="45" t="s">
        <v>107</v>
      </c>
      <c r="C123" s="59">
        <v>0</v>
      </c>
      <c r="D123" s="62">
        <v>48801.6</v>
      </c>
      <c r="E123" s="62">
        <f>F123-44162</f>
        <v>44492</v>
      </c>
      <c r="F123" s="68">
        <v>88654</v>
      </c>
    </row>
    <row r="124" spans="2:6" ht="12" customHeight="1">
      <c r="B124" s="45" t="s">
        <v>108</v>
      </c>
      <c r="C124" s="59">
        <v>0</v>
      </c>
      <c r="D124" s="62">
        <v>55436.7</v>
      </c>
      <c r="E124" s="62">
        <f>F124-40102</f>
        <v>17773</v>
      </c>
      <c r="F124" s="68">
        <v>57875</v>
      </c>
    </row>
    <row r="125" spans="2:6" ht="12" customHeight="1">
      <c r="B125" s="45" t="s">
        <v>109</v>
      </c>
      <c r="C125" s="59">
        <v>0</v>
      </c>
      <c r="D125" s="62">
        <v>0</v>
      </c>
      <c r="E125" s="62">
        <f>F125-0</f>
        <v>3</v>
      </c>
      <c r="F125" s="68">
        <v>3</v>
      </c>
    </row>
    <row r="126" spans="2:6" ht="24" customHeight="1">
      <c r="B126" s="43" t="s">
        <v>110</v>
      </c>
      <c r="C126" s="59">
        <v>0</v>
      </c>
      <c r="D126" s="62">
        <v>0</v>
      </c>
      <c r="E126" s="62">
        <f>F126-0</f>
        <v>0</v>
      </c>
      <c r="F126" s="68">
        <v>0</v>
      </c>
    </row>
    <row r="127" spans="2:6" ht="24" customHeight="1">
      <c r="B127" s="43" t="s">
        <v>111</v>
      </c>
      <c r="C127" s="59">
        <v>0</v>
      </c>
      <c r="D127" s="62">
        <v>95971.1</v>
      </c>
      <c r="E127" s="62">
        <f>F127-74052</f>
        <v>27838</v>
      </c>
      <c r="F127" s="68">
        <v>101890</v>
      </c>
    </row>
    <row r="128" spans="2:6" ht="12" customHeight="1">
      <c r="B128" s="45" t="s">
        <v>112</v>
      </c>
      <c r="C128" s="59">
        <v>0</v>
      </c>
      <c r="D128" s="62">
        <v>247.5</v>
      </c>
      <c r="E128" s="62">
        <f>F128-0</f>
        <v>2611</v>
      </c>
      <c r="F128" s="68">
        <v>2611</v>
      </c>
    </row>
    <row r="129" spans="2:6" ht="12" customHeight="1">
      <c r="B129" s="45" t="s">
        <v>113</v>
      </c>
      <c r="C129" s="59">
        <v>0</v>
      </c>
      <c r="D129" s="62">
        <v>-1496.9</v>
      </c>
      <c r="E129" s="62">
        <f>F129--1533</f>
        <v>-1810</v>
      </c>
      <c r="F129" s="68">
        <v>-3343</v>
      </c>
    </row>
    <row r="130" spans="2:6" ht="12" customHeight="1">
      <c r="B130" s="45" t="s">
        <v>114</v>
      </c>
      <c r="C130" s="59">
        <v>0</v>
      </c>
      <c r="D130" s="62">
        <v>-235.7</v>
      </c>
      <c r="E130" s="62">
        <f>F130--1120</f>
        <v>-18</v>
      </c>
      <c r="F130" s="68">
        <v>-1138</v>
      </c>
    </row>
    <row r="131" spans="2:6" ht="12" customHeight="1">
      <c r="B131" s="45" t="s">
        <v>115</v>
      </c>
      <c r="C131" s="59">
        <v>0</v>
      </c>
      <c r="D131" s="62">
        <v>11242.1</v>
      </c>
      <c r="E131" s="62">
        <f>F131--3989</f>
        <v>2798</v>
      </c>
      <c r="F131" s="68">
        <v>-1191</v>
      </c>
    </row>
    <row r="132" spans="2:6" ht="12" customHeight="1">
      <c r="B132" s="45" t="s">
        <v>116</v>
      </c>
      <c r="C132" s="59">
        <v>0</v>
      </c>
      <c r="D132" s="62">
        <v>13383.9</v>
      </c>
      <c r="E132" s="62">
        <f>F132-5209</f>
        <v>8123</v>
      </c>
      <c r="F132" s="68">
        <v>13332</v>
      </c>
    </row>
    <row r="133" spans="2:6" ht="12" customHeight="1">
      <c r="B133" s="45" t="s">
        <v>117</v>
      </c>
      <c r="C133" s="59">
        <v>0</v>
      </c>
      <c r="D133" s="62">
        <v>-37829.3</v>
      </c>
      <c r="E133" s="62">
        <f>F133--2136</f>
        <v>-8495</v>
      </c>
      <c r="F133" s="68">
        <v>-10631</v>
      </c>
    </row>
    <row r="134" spans="2:6" ht="12" customHeight="1">
      <c r="B134" s="45" t="s">
        <v>118</v>
      </c>
      <c r="C134" s="59">
        <v>0</v>
      </c>
      <c r="D134" s="62">
        <v>-6302.2</v>
      </c>
      <c r="E134" s="62">
        <f>F134-11462</f>
        <v>-7129</v>
      </c>
      <c r="F134" s="68">
        <v>4333</v>
      </c>
    </row>
    <row r="135" spans="2:6" ht="12" customHeight="1">
      <c r="B135" s="45" t="s">
        <v>119</v>
      </c>
      <c r="C135" s="59">
        <v>0</v>
      </c>
      <c r="D135" s="62">
        <v>-47251.8</v>
      </c>
      <c r="E135" s="62">
        <f>F135--36800</f>
        <v>4895</v>
      </c>
      <c r="F135" s="68">
        <v>-31905</v>
      </c>
    </row>
    <row r="136" spans="2:6" ht="24" customHeight="1">
      <c r="B136" s="43" t="s">
        <v>120</v>
      </c>
      <c r="C136" s="59">
        <v>0</v>
      </c>
      <c r="D136" s="62">
        <v>17862.5</v>
      </c>
      <c r="E136" s="62">
        <f>F136--25692</f>
        <v>16711</v>
      </c>
      <c r="F136" s="68">
        <v>-8981</v>
      </c>
    </row>
    <row r="137" spans="2:6" ht="12" customHeight="1">
      <c r="B137" s="45" t="s">
        <v>121</v>
      </c>
      <c r="C137" s="59">
        <v>0</v>
      </c>
      <c r="D137" s="62">
        <v>22237.5</v>
      </c>
      <c r="E137" s="62">
        <f>F137-19303</f>
        <v>-27525</v>
      </c>
      <c r="F137" s="68">
        <v>-8222</v>
      </c>
    </row>
    <row r="138" spans="2:6" ht="12" customHeight="1">
      <c r="B138" s="45" t="s">
        <v>122</v>
      </c>
      <c r="C138" s="59">
        <v>0</v>
      </c>
      <c r="D138" s="62">
        <v>1090.6</v>
      </c>
      <c r="E138" s="62">
        <f>F138-1936</f>
        <v>391</v>
      </c>
      <c r="F138" s="68">
        <v>2327</v>
      </c>
    </row>
    <row r="139" spans="2:6" ht="12.75" customHeight="1">
      <c r="B139" s="45" t="s">
        <v>123</v>
      </c>
      <c r="C139" s="59">
        <v>0</v>
      </c>
      <c r="D139" s="62">
        <v>-13482.6</v>
      </c>
      <c r="E139" s="62">
        <f>F139--590</f>
        <v>-620</v>
      </c>
      <c r="F139" s="68">
        <v>-1210</v>
      </c>
    </row>
    <row r="140" spans="2:6" ht="12" customHeight="1">
      <c r="B140" s="45" t="s">
        <v>124</v>
      </c>
      <c r="C140" s="59">
        <v>0</v>
      </c>
      <c r="D140" s="62">
        <v>-77079.86</v>
      </c>
      <c r="E140" s="62">
        <f>F140--54917</f>
        <v>-79624</v>
      </c>
      <c r="F140" s="68">
        <v>-134541</v>
      </c>
    </row>
    <row r="141" spans="2:6" ht="12" customHeight="1">
      <c r="B141" s="45" t="s">
        <v>125</v>
      </c>
      <c r="C141" s="59">
        <v>0</v>
      </c>
      <c r="D141" s="62">
        <v>71909.8</v>
      </c>
      <c r="E141" s="62">
        <f>F141-28061</f>
        <v>33813</v>
      </c>
      <c r="F141" s="68">
        <v>61874</v>
      </c>
    </row>
    <row r="142" spans="2:6" ht="12" customHeight="1">
      <c r="B142" s="45" t="s">
        <v>126</v>
      </c>
      <c r="C142" s="59">
        <v>0</v>
      </c>
      <c r="D142" s="62">
        <v>0</v>
      </c>
      <c r="E142" s="62">
        <f>F142-0</f>
        <v>0</v>
      </c>
      <c r="F142" s="68">
        <v>0</v>
      </c>
    </row>
    <row r="143" spans="2:6" ht="12" customHeight="1">
      <c r="B143" s="45" t="s">
        <v>127</v>
      </c>
      <c r="C143" s="59">
        <v>0</v>
      </c>
      <c r="D143" s="62">
        <v>443.2</v>
      </c>
      <c r="E143" s="62">
        <f>F143-1385</f>
        <v>388</v>
      </c>
      <c r="F143" s="68">
        <v>1773</v>
      </c>
    </row>
    <row r="144" spans="2:6" ht="12" customHeight="1">
      <c r="B144" s="45" t="s">
        <v>128</v>
      </c>
      <c r="C144" s="59">
        <v>0</v>
      </c>
      <c r="D144" s="62">
        <v>6.9</v>
      </c>
      <c r="E144" s="62">
        <f>F144-7</f>
        <v>0</v>
      </c>
      <c r="F144" s="68">
        <v>7</v>
      </c>
    </row>
    <row r="145" spans="2:6" ht="12" customHeight="1">
      <c r="B145" s="45" t="s">
        <v>129</v>
      </c>
      <c r="C145" s="59">
        <v>0</v>
      </c>
      <c r="D145" s="62">
        <v>0</v>
      </c>
      <c r="E145" s="62">
        <f>F145-7</f>
        <v>-7</v>
      </c>
      <c r="F145" s="68">
        <v>0</v>
      </c>
    </row>
    <row r="146" spans="2:6" ht="12" customHeight="1">
      <c r="B146" s="45" t="s">
        <v>130</v>
      </c>
      <c r="C146" s="59">
        <v>0</v>
      </c>
      <c r="D146" s="62">
        <v>0</v>
      </c>
      <c r="E146" s="62">
        <f>F146-0</f>
        <v>0</v>
      </c>
      <c r="F146" s="68">
        <v>0</v>
      </c>
    </row>
    <row r="147" spans="2:6" ht="12" customHeight="1">
      <c r="B147" s="45" t="s">
        <v>131</v>
      </c>
      <c r="C147" s="59">
        <v>0</v>
      </c>
      <c r="D147" s="63">
        <v>0</v>
      </c>
      <c r="E147" s="62">
        <f>F147-0</f>
        <v>0</v>
      </c>
      <c r="F147" s="68">
        <v>0</v>
      </c>
    </row>
    <row r="148" spans="2:6" ht="12" customHeight="1">
      <c r="B148" s="45" t="s">
        <v>132</v>
      </c>
      <c r="C148" s="59">
        <v>0</v>
      </c>
      <c r="D148" s="62">
        <v>68121.2</v>
      </c>
      <c r="E148" s="62">
        <f>F148-25406</f>
        <v>32843</v>
      </c>
      <c r="F148" s="68">
        <v>58249</v>
      </c>
    </row>
    <row r="149" spans="2:6" ht="12" customHeight="1">
      <c r="B149" s="45" t="s">
        <v>133</v>
      </c>
      <c r="C149" s="59">
        <v>0</v>
      </c>
      <c r="D149" s="62">
        <v>0</v>
      </c>
      <c r="E149" s="62">
        <f>F149-0</f>
        <v>0</v>
      </c>
      <c r="F149" s="68">
        <v>0</v>
      </c>
    </row>
    <row r="150" spans="2:6" ht="12" customHeight="1">
      <c r="B150" s="45" t="s">
        <v>134</v>
      </c>
      <c r="C150" s="59">
        <v>0</v>
      </c>
      <c r="D150" s="62">
        <v>210.6</v>
      </c>
      <c r="E150" s="62">
        <f>F150-40</f>
        <v>0</v>
      </c>
      <c r="F150" s="68">
        <v>40</v>
      </c>
    </row>
    <row r="151" spans="2:6" ht="12" customHeight="1">
      <c r="B151" s="45" t="s">
        <v>135</v>
      </c>
      <c r="C151" s="59">
        <v>0</v>
      </c>
      <c r="D151" s="62">
        <v>0</v>
      </c>
      <c r="E151" s="62">
        <f>F151-1223</f>
        <v>582</v>
      </c>
      <c r="F151" s="68">
        <v>1805</v>
      </c>
    </row>
    <row r="152" spans="2:6" ht="12" customHeight="1">
      <c r="B152" s="45" t="s">
        <v>136</v>
      </c>
      <c r="C152" s="59">
        <v>0</v>
      </c>
      <c r="D152" s="62">
        <v>3127.9</v>
      </c>
      <c r="E152" s="62">
        <f>F152-0</f>
        <v>0</v>
      </c>
      <c r="F152" s="68">
        <v>0</v>
      </c>
    </row>
    <row r="153" spans="2:6" ht="12" customHeight="1">
      <c r="B153" s="45" t="s">
        <v>137</v>
      </c>
      <c r="C153" s="59">
        <v>0</v>
      </c>
      <c r="D153" s="62">
        <v>-148989.66</v>
      </c>
      <c r="E153" s="62">
        <f>F153-82978</f>
        <v>113437</v>
      </c>
      <c r="F153" s="68">
        <v>196415</v>
      </c>
    </row>
    <row r="154" spans="2:6" ht="12" customHeight="1">
      <c r="B154" s="45" t="s">
        <v>138</v>
      </c>
      <c r="C154" s="59">
        <v>0</v>
      </c>
      <c r="D154" s="62">
        <v>-251.22</v>
      </c>
      <c r="E154" s="62">
        <f>F154-214</f>
        <v>595</v>
      </c>
      <c r="F154" s="68">
        <v>809</v>
      </c>
    </row>
    <row r="155" spans="2:6" ht="12" customHeight="1">
      <c r="B155" s="45" t="s">
        <v>139</v>
      </c>
      <c r="C155" s="59">
        <v>0</v>
      </c>
      <c r="D155" s="62">
        <v>-84792.42</v>
      </c>
      <c r="E155" s="62">
        <f>F155-54531</f>
        <v>42157</v>
      </c>
      <c r="F155" s="68">
        <v>96688</v>
      </c>
    </row>
    <row r="156" spans="2:6" ht="12" customHeight="1">
      <c r="B156" s="45" t="s">
        <v>140</v>
      </c>
      <c r="C156" s="59">
        <v>0</v>
      </c>
      <c r="D156" s="62">
        <v>-103.82</v>
      </c>
      <c r="E156" s="62">
        <f>F156-2900</f>
        <v>33319</v>
      </c>
      <c r="F156" s="68">
        <v>36219</v>
      </c>
    </row>
    <row r="157" spans="2:6" ht="12" customHeight="1">
      <c r="B157" s="45" t="s">
        <v>141</v>
      </c>
      <c r="C157" s="59">
        <v>0</v>
      </c>
      <c r="D157" s="63">
        <v>0</v>
      </c>
      <c r="E157" s="62">
        <f>F157-2900</f>
        <v>30419</v>
      </c>
      <c r="F157" s="68">
        <v>33319</v>
      </c>
    </row>
    <row r="158" spans="2:6" ht="12" customHeight="1">
      <c r="B158" s="45" t="s">
        <v>142</v>
      </c>
      <c r="C158" s="59">
        <v>0</v>
      </c>
      <c r="D158" s="62">
        <v>0</v>
      </c>
      <c r="E158" s="62">
        <f>F158-0</f>
        <v>0</v>
      </c>
      <c r="F158" s="68">
        <v>0</v>
      </c>
    </row>
    <row r="159" spans="2:6" ht="12" customHeight="1">
      <c r="B159" s="45" t="s">
        <v>143</v>
      </c>
      <c r="C159" s="59">
        <v>0</v>
      </c>
      <c r="D159" s="62">
        <v>0</v>
      </c>
      <c r="E159" s="62">
        <f>F159-0</f>
        <v>0</v>
      </c>
      <c r="F159" s="68">
        <v>0</v>
      </c>
    </row>
    <row r="160" spans="2:6" ht="12" customHeight="1">
      <c r="B160" s="45" t="s">
        <v>144</v>
      </c>
      <c r="C160" s="59">
        <v>0</v>
      </c>
      <c r="D160" s="62">
        <v>0</v>
      </c>
      <c r="E160" s="62">
        <f>F160-0</f>
        <v>0</v>
      </c>
      <c r="F160" s="68">
        <v>0</v>
      </c>
    </row>
    <row r="161" spans="2:6" ht="12" customHeight="1">
      <c r="B161" s="45" t="s">
        <v>145</v>
      </c>
      <c r="C161" s="59">
        <v>0</v>
      </c>
      <c r="D161" s="62">
        <v>-63594.8</v>
      </c>
      <c r="E161" s="62">
        <f>F161-25124</f>
        <v>37531</v>
      </c>
      <c r="F161" s="68">
        <v>62655</v>
      </c>
    </row>
    <row r="162" spans="2:6" ht="12" customHeight="1">
      <c r="B162" s="45" t="s">
        <v>146</v>
      </c>
      <c r="C162" s="59">
        <v>0</v>
      </c>
      <c r="D162" s="62">
        <v>0</v>
      </c>
      <c r="E162" s="62">
        <f>F162-0</f>
        <v>0</v>
      </c>
      <c r="F162" s="68">
        <v>0</v>
      </c>
    </row>
    <row r="163" spans="2:6" ht="24" customHeight="1">
      <c r="B163" s="43" t="s">
        <v>147</v>
      </c>
      <c r="C163" s="59">
        <v>0</v>
      </c>
      <c r="D163" s="62">
        <v>0</v>
      </c>
      <c r="E163" s="62">
        <f>F163-0</f>
        <v>0</v>
      </c>
      <c r="F163" s="68">
        <v>0</v>
      </c>
    </row>
    <row r="164" spans="2:6" ht="12" customHeight="1">
      <c r="B164" s="45" t="s">
        <v>148</v>
      </c>
      <c r="C164" s="59">
        <v>0</v>
      </c>
      <c r="D164" s="62">
        <v>-247.5</v>
      </c>
      <c r="E164" s="62">
        <f>F164-209</f>
        <v>-165</v>
      </c>
      <c r="F164" s="68">
        <v>44</v>
      </c>
    </row>
    <row r="165" spans="2:6" ht="12" customHeight="1">
      <c r="B165" s="45" t="s">
        <v>149</v>
      </c>
      <c r="C165" s="59">
        <v>0</v>
      </c>
      <c r="D165" s="62">
        <v>-10332</v>
      </c>
      <c r="E165" s="62">
        <f>F165--10014</f>
        <v>10959</v>
      </c>
      <c r="F165" s="68">
        <v>945</v>
      </c>
    </row>
    <row r="166" spans="2:6" ht="12" customHeight="1">
      <c r="B166" s="45" t="s">
        <v>150</v>
      </c>
      <c r="C166" s="59">
        <v>0</v>
      </c>
      <c r="D166" s="62">
        <v>1.7</v>
      </c>
      <c r="E166" s="62">
        <f aca="true" t="shared" si="0" ref="E166:E171">F166-0</f>
        <v>13221</v>
      </c>
      <c r="F166" s="68">
        <v>13221</v>
      </c>
    </row>
    <row r="167" spans="2:6" ht="12" customHeight="1">
      <c r="B167" s="45" t="s">
        <v>151</v>
      </c>
      <c r="C167" s="59">
        <v>0</v>
      </c>
      <c r="D167" s="62">
        <v>0</v>
      </c>
      <c r="E167" s="62">
        <f t="shared" si="0"/>
        <v>0</v>
      </c>
      <c r="F167" s="68">
        <v>0</v>
      </c>
    </row>
    <row r="168" spans="2:6" ht="24">
      <c r="B168" s="45" t="s">
        <v>152</v>
      </c>
      <c r="C168" s="59">
        <v>0</v>
      </c>
      <c r="D168" s="62">
        <v>0</v>
      </c>
      <c r="E168" s="62">
        <f t="shared" si="0"/>
        <v>0</v>
      </c>
      <c r="F168" s="68">
        <v>0</v>
      </c>
    </row>
    <row r="169" spans="2:6" ht="12" customHeight="1">
      <c r="B169" s="45" t="s">
        <v>153</v>
      </c>
      <c r="C169" s="59">
        <v>0</v>
      </c>
      <c r="D169" s="62">
        <v>1.7</v>
      </c>
      <c r="E169" s="62">
        <f t="shared" si="0"/>
        <v>0</v>
      </c>
      <c r="F169" s="68">
        <v>0</v>
      </c>
    </row>
    <row r="170" spans="2:6" ht="24">
      <c r="B170" s="45" t="s">
        <v>154</v>
      </c>
      <c r="C170" s="59">
        <v>0</v>
      </c>
      <c r="D170" s="62">
        <v>0</v>
      </c>
      <c r="E170" s="62">
        <f t="shared" si="0"/>
        <v>0</v>
      </c>
      <c r="F170" s="68">
        <v>0</v>
      </c>
    </row>
    <row r="171" spans="2:6" ht="12" customHeight="1">
      <c r="B171" s="45" t="s">
        <v>155</v>
      </c>
      <c r="C171" s="59">
        <v>0</v>
      </c>
      <c r="D171" s="63">
        <v>0</v>
      </c>
      <c r="E171" s="62">
        <f t="shared" si="0"/>
        <v>8218</v>
      </c>
      <c r="F171" s="68">
        <v>8218</v>
      </c>
    </row>
    <row r="172" spans="2:6" ht="12" customHeight="1">
      <c r="B172" s="45" t="s">
        <v>156</v>
      </c>
      <c r="C172" s="59">
        <v>0</v>
      </c>
      <c r="D172" s="62">
        <v>0</v>
      </c>
      <c r="E172" s="62">
        <f>F172-8218</f>
        <v>-8218</v>
      </c>
      <c r="F172" s="68">
        <v>0</v>
      </c>
    </row>
    <row r="173" spans="2:6" ht="12" customHeight="1">
      <c r="B173" s="45" t="s">
        <v>157</v>
      </c>
      <c r="C173" s="59">
        <v>0</v>
      </c>
      <c r="D173" s="62">
        <v>0</v>
      </c>
      <c r="E173" s="62">
        <f>F173-0</f>
        <v>2084</v>
      </c>
      <c r="F173" s="68">
        <v>2084</v>
      </c>
    </row>
    <row r="174" spans="2:6" ht="12" customHeight="1">
      <c r="B174" s="45" t="s">
        <v>158</v>
      </c>
      <c r="C174" s="59">
        <v>0</v>
      </c>
      <c r="D174" s="62">
        <v>-10333.7</v>
      </c>
      <c r="E174" s="62">
        <f>F174-10014</f>
        <v>2262</v>
      </c>
      <c r="F174" s="68">
        <v>12276</v>
      </c>
    </row>
    <row r="175" spans="2:6" ht="12" customHeight="1">
      <c r="B175" s="45" t="s">
        <v>159</v>
      </c>
      <c r="C175" s="59">
        <v>0</v>
      </c>
      <c r="D175" s="62">
        <v>0</v>
      </c>
      <c r="E175" s="62">
        <f>F175-0</f>
        <v>0</v>
      </c>
      <c r="F175" s="68">
        <v>0</v>
      </c>
    </row>
    <row r="176" spans="2:6" ht="24">
      <c r="B176" s="45" t="s">
        <v>160</v>
      </c>
      <c r="C176" s="59">
        <v>0</v>
      </c>
      <c r="D176" s="62">
        <v>0</v>
      </c>
      <c r="E176" s="62">
        <f>F176-0</f>
        <v>0</v>
      </c>
      <c r="F176" s="68">
        <v>0</v>
      </c>
    </row>
    <row r="177" spans="2:6" ht="12" customHeight="1">
      <c r="B177" s="45" t="s">
        <v>161</v>
      </c>
      <c r="C177" s="59">
        <v>0</v>
      </c>
      <c r="D177" s="62">
        <v>0</v>
      </c>
      <c r="E177" s="62">
        <f>F177-2</f>
        <v>0</v>
      </c>
      <c r="F177" s="68">
        <v>2</v>
      </c>
    </row>
    <row r="178" spans="2:6" ht="24">
      <c r="B178" s="45" t="s">
        <v>162</v>
      </c>
      <c r="C178" s="59">
        <v>0</v>
      </c>
      <c r="D178" s="62">
        <v>0</v>
      </c>
      <c r="E178" s="62">
        <f>F178-0</f>
        <v>0</v>
      </c>
      <c r="F178" s="68">
        <v>0</v>
      </c>
    </row>
    <row r="179" spans="2:6" ht="12" customHeight="1">
      <c r="B179" s="45" t="s">
        <v>163</v>
      </c>
      <c r="C179" s="59">
        <v>0</v>
      </c>
      <c r="D179" s="62">
        <v>0</v>
      </c>
      <c r="E179" s="62">
        <f>F179-0</f>
        <v>0</v>
      </c>
      <c r="F179" s="68">
        <v>0</v>
      </c>
    </row>
    <row r="180" spans="2:6" ht="12" customHeight="1">
      <c r="B180" s="45" t="s">
        <v>164</v>
      </c>
      <c r="C180" s="59">
        <v>0</v>
      </c>
      <c r="D180" s="62">
        <v>0</v>
      </c>
      <c r="E180" s="62">
        <f>F180-0</f>
        <v>0</v>
      </c>
      <c r="F180" s="68">
        <v>0</v>
      </c>
    </row>
    <row r="181" spans="2:6" ht="12" customHeight="1">
      <c r="B181" s="45" t="s">
        <v>165</v>
      </c>
      <c r="C181" s="59">
        <v>0</v>
      </c>
      <c r="D181" s="63">
        <v>-10000</v>
      </c>
      <c r="E181" s="62">
        <f>F181-10000</f>
        <v>0</v>
      </c>
      <c r="F181" s="68">
        <v>10000</v>
      </c>
    </row>
    <row r="182" spans="2:6" ht="12" customHeight="1">
      <c r="B182" s="45" t="s">
        <v>166</v>
      </c>
      <c r="C182" s="59">
        <v>0</v>
      </c>
      <c r="D182" s="62">
        <v>0</v>
      </c>
      <c r="E182" s="62">
        <f>F182-0</f>
        <v>0</v>
      </c>
      <c r="F182" s="68">
        <v>0</v>
      </c>
    </row>
    <row r="183" spans="2:6" ht="12" customHeight="1">
      <c r="B183" s="45" t="s">
        <v>167</v>
      </c>
      <c r="C183" s="59">
        <v>0</v>
      </c>
      <c r="D183" s="62">
        <v>-6</v>
      </c>
      <c r="E183" s="62">
        <f>F183-0</f>
        <v>12</v>
      </c>
      <c r="F183" s="68">
        <v>12</v>
      </c>
    </row>
    <row r="184" spans="2:6" ht="12" customHeight="1">
      <c r="B184" s="45" t="s">
        <v>168</v>
      </c>
      <c r="C184" s="59">
        <v>0</v>
      </c>
      <c r="D184" s="62">
        <v>0</v>
      </c>
      <c r="E184" s="62">
        <f>F184-0</f>
        <v>0</v>
      </c>
      <c r="F184" s="68">
        <v>0</v>
      </c>
    </row>
    <row r="185" spans="2:6" ht="12" customHeight="1">
      <c r="B185" s="45" t="s">
        <v>169</v>
      </c>
      <c r="C185" s="59">
        <v>0</v>
      </c>
      <c r="D185" s="62">
        <v>-326.6</v>
      </c>
      <c r="E185" s="62">
        <f>F185-12</f>
        <v>34</v>
      </c>
      <c r="F185" s="68">
        <v>46</v>
      </c>
    </row>
    <row r="186" spans="2:6" ht="12" customHeight="1">
      <c r="B186" s="45" t="s">
        <v>170</v>
      </c>
      <c r="C186" s="59">
        <v>0</v>
      </c>
      <c r="D186" s="62">
        <v>-1.1</v>
      </c>
      <c r="E186" s="62">
        <f>F186-0</f>
        <v>2216</v>
      </c>
      <c r="F186" s="68">
        <v>2216</v>
      </c>
    </row>
    <row r="187" spans="2:6" ht="12" customHeight="1">
      <c r="B187" s="45" t="s">
        <v>171</v>
      </c>
      <c r="C187" s="59">
        <v>0</v>
      </c>
      <c r="D187" s="62">
        <v>16826.44</v>
      </c>
      <c r="E187" s="62">
        <f>F187-19333</f>
        <v>-6400</v>
      </c>
      <c r="F187" s="68">
        <v>12933</v>
      </c>
    </row>
    <row r="188" spans="2:6" ht="12" customHeight="1">
      <c r="B188" s="45" t="s">
        <v>172</v>
      </c>
      <c r="C188" s="59">
        <v>0</v>
      </c>
      <c r="D188" s="62">
        <v>16833.6</v>
      </c>
      <c r="E188" s="62">
        <f>E191-E190</f>
        <v>-6399</v>
      </c>
      <c r="F188" s="68">
        <v>12933</v>
      </c>
    </row>
    <row r="189" spans="2:6" ht="24" customHeight="1">
      <c r="B189" s="45" t="s">
        <v>173</v>
      </c>
      <c r="C189" s="59">
        <v>0</v>
      </c>
      <c r="D189" s="62">
        <v>247.5</v>
      </c>
      <c r="E189" s="62">
        <v>0</v>
      </c>
      <c r="F189" s="68">
        <v>0</v>
      </c>
    </row>
    <row r="190" spans="2:6" ht="12" customHeight="1">
      <c r="B190" s="45" t="s">
        <v>174</v>
      </c>
      <c r="C190" s="59">
        <v>0</v>
      </c>
      <c r="D190" s="63">
        <v>8306.2</v>
      </c>
      <c r="E190" s="62">
        <v>44465</v>
      </c>
      <c r="F190" s="68">
        <v>25133</v>
      </c>
    </row>
    <row r="191" spans="2:6" ht="12" customHeight="1">
      <c r="B191" s="45" t="s">
        <v>175</v>
      </c>
      <c r="C191" s="59">
        <v>0</v>
      </c>
      <c r="D191" s="62">
        <v>25132.64</v>
      </c>
      <c r="E191" s="62">
        <v>38066</v>
      </c>
      <c r="F191" s="68">
        <v>38066</v>
      </c>
    </row>
    <row r="192" spans="2:6" ht="6" customHeight="1">
      <c r="B192" s="14"/>
      <c r="C192" s="8"/>
      <c r="D192" s="6"/>
      <c r="E192" s="8"/>
      <c r="F192" s="6"/>
    </row>
    <row r="193" spans="2:6" ht="52.5" customHeight="1">
      <c r="B193" s="50" t="s">
        <v>176</v>
      </c>
      <c r="C193" s="49" t="s">
        <v>185</v>
      </c>
      <c r="D193" s="49" t="s">
        <v>186</v>
      </c>
      <c r="E193" s="49" t="s">
        <v>187</v>
      </c>
      <c r="F193" s="49" t="s">
        <v>188</v>
      </c>
    </row>
    <row r="194" spans="2:6" ht="12" customHeight="1">
      <c r="B194" s="45" t="s">
        <v>177</v>
      </c>
      <c r="C194" s="2"/>
      <c r="D194" s="3"/>
      <c r="E194" s="29"/>
      <c r="F194" s="3"/>
    </row>
    <row r="195" spans="2:6" ht="12" customHeight="1">
      <c r="B195" s="45" t="s">
        <v>178</v>
      </c>
      <c r="C195" s="59">
        <v>850</v>
      </c>
      <c r="D195" s="64">
        <v>0</v>
      </c>
      <c r="E195" s="60">
        <v>500</v>
      </c>
      <c r="F195" s="59">
        <v>675</v>
      </c>
    </row>
    <row r="196" spans="2:6" ht="12" customHeight="1">
      <c r="B196" s="45" t="s">
        <v>179</v>
      </c>
      <c r="C196" s="59">
        <v>0</v>
      </c>
      <c r="D196" s="64">
        <v>0</v>
      </c>
      <c r="E196" s="60">
        <v>0</v>
      </c>
      <c r="F196" s="59">
        <v>0</v>
      </c>
    </row>
    <row r="197" spans="2:6" ht="12" customHeight="1">
      <c r="B197" s="45" t="s">
        <v>180</v>
      </c>
      <c r="C197" s="59">
        <v>0</v>
      </c>
      <c r="D197" s="64">
        <v>0</v>
      </c>
      <c r="E197" s="60">
        <v>0</v>
      </c>
      <c r="F197" s="59">
        <v>0</v>
      </c>
    </row>
    <row r="198" spans="2:6" ht="12" customHeight="1">
      <c r="B198" s="45" t="s">
        <v>181</v>
      </c>
      <c r="C198" s="59">
        <v>0</v>
      </c>
      <c r="D198" s="64">
        <v>0</v>
      </c>
      <c r="E198" s="60">
        <v>0</v>
      </c>
      <c r="F198" s="59">
        <v>0</v>
      </c>
    </row>
    <row r="199" spans="2:6" ht="12" customHeight="1">
      <c r="B199" s="45" t="s">
        <v>182</v>
      </c>
      <c r="C199" s="59">
        <v>7532</v>
      </c>
      <c r="D199" s="64">
        <v>0</v>
      </c>
      <c r="E199" s="60">
        <v>77046</v>
      </c>
      <c r="F199" s="59">
        <v>17289</v>
      </c>
    </row>
    <row r="200" spans="2:6" ht="12" customHeight="1">
      <c r="B200" s="45" t="s">
        <v>203</v>
      </c>
      <c r="C200" s="59"/>
      <c r="D200" s="64">
        <v>0</v>
      </c>
      <c r="E200" s="60">
        <v>2006</v>
      </c>
      <c r="F200" s="59">
        <v>2506</v>
      </c>
    </row>
    <row r="201" spans="2:6" ht="12" customHeight="1">
      <c r="B201" s="45" t="s">
        <v>204</v>
      </c>
      <c r="C201" s="59"/>
      <c r="D201" s="64">
        <v>0</v>
      </c>
      <c r="E201" s="60">
        <v>75040</v>
      </c>
      <c r="F201" s="59">
        <v>14783</v>
      </c>
    </row>
    <row r="202" spans="2:6" ht="12" customHeight="1">
      <c r="B202" s="45" t="s">
        <v>183</v>
      </c>
      <c r="C202" s="59"/>
      <c r="D202" s="64"/>
      <c r="E202" s="60"/>
      <c r="F202" s="59"/>
    </row>
    <row r="203" spans="2:6" ht="12" customHeight="1">
      <c r="B203" s="45" t="s">
        <v>183</v>
      </c>
      <c r="C203" s="59"/>
      <c r="D203" s="64"/>
      <c r="E203" s="60">
        <v>0</v>
      </c>
      <c r="F203" s="59"/>
    </row>
    <row r="204" spans="2:6" ht="12" customHeight="1">
      <c r="B204" s="45" t="s">
        <v>183</v>
      </c>
      <c r="C204" s="59"/>
      <c r="D204" s="64"/>
      <c r="E204" s="60">
        <v>0</v>
      </c>
      <c r="F204" s="59"/>
    </row>
    <row r="205" spans="2:6" ht="12" customHeight="1">
      <c r="B205" s="45" t="s">
        <v>184</v>
      </c>
      <c r="C205" s="59">
        <f>C195+C199</f>
        <v>8382</v>
      </c>
      <c r="D205" s="64">
        <v>0</v>
      </c>
      <c r="E205" s="60">
        <v>77546</v>
      </c>
      <c r="F205" s="59">
        <v>17964</v>
      </c>
    </row>
    <row r="206" spans="2:6" ht="12" customHeight="1">
      <c r="B206" s="14"/>
      <c r="C206" s="8"/>
      <c r="D206" s="9"/>
      <c r="E206" s="8"/>
      <c r="F206" s="9"/>
    </row>
    <row r="207" spans="2:6" ht="12">
      <c r="B207" s="14"/>
      <c r="C207" s="7"/>
      <c r="D207" s="7"/>
      <c r="E207" s="7"/>
      <c r="F207" s="7"/>
    </row>
    <row r="208" spans="2:6" ht="12">
      <c r="B208" s="14"/>
      <c r="C208" s="8"/>
      <c r="D208" s="9"/>
      <c r="E208" s="8"/>
      <c r="F208" s="9"/>
    </row>
    <row r="209" spans="2:6" ht="12">
      <c r="B209" s="14"/>
      <c r="C209" s="8"/>
      <c r="D209" s="9"/>
      <c r="E209" s="8"/>
      <c r="F209" s="9"/>
    </row>
    <row r="210" spans="2:6" ht="12">
      <c r="B210" s="14"/>
      <c r="C210" s="8"/>
      <c r="D210" s="9"/>
      <c r="E210" s="8"/>
      <c r="F210" s="9"/>
    </row>
    <row r="211" spans="2:6" ht="12">
      <c r="B211" s="14"/>
      <c r="C211" s="8"/>
      <c r="D211" s="9"/>
      <c r="E211" s="8"/>
      <c r="F211" s="9"/>
    </row>
    <row r="212" spans="4:6" ht="12">
      <c r="D212" s="10"/>
      <c r="F212" s="10"/>
    </row>
    <row r="213" spans="2:6" ht="12">
      <c r="B213" s="14"/>
      <c r="C213" s="8"/>
      <c r="D213" s="9"/>
      <c r="E213" s="8"/>
      <c r="F213" s="9"/>
    </row>
    <row r="214" spans="2:6" ht="12">
      <c r="B214" s="27"/>
      <c r="C214" s="4"/>
      <c r="D214" s="27"/>
      <c r="E214" s="4"/>
      <c r="F214" s="27"/>
    </row>
  </sheetData>
  <sheetProtection password="C71E"/>
  <printOptions horizontalCentered="1"/>
  <pageMargins left="0.4724409448818898" right="0.2362204724409449" top="0.7086614173228347" bottom="0.5905511811023623" header="0.31496062992125984" footer="0.11811023622047245"/>
  <pageSetup horizontalDpi="300" verticalDpi="300" orientation="portrait" paperSize="9" scale="95" r:id="rId1"/>
  <headerFooter alignWithMargins="0">
    <oddHeader>&amp;L&amp;8Frantschach Świecie S.A.
&amp;"Times New Roman CE,Normalny"(nazwa emitenta)&amp;CSA-QS IV/1999
&amp;R&amp;"Times New Roman CE,Normalny"&amp;8w tys. zł</oddHeader>
    <oddFooter>&amp;C&amp;"Times New Roman CE,Normalny"Komisja Papierów Wartościowych i Giełd&amp;R&amp;P</oddFooter>
  </headerFooter>
  <rowBreaks count="4" manualBreakCount="4">
    <brk id="55" max="65535" man="1"/>
    <brk id="109" max="65535" man="1"/>
    <brk id="164" max="65535" man="1"/>
    <brk id="22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Piotr Urbański</cp:lastModifiedBy>
  <cp:lastPrinted>2000-01-27T14:52:01Z</cp:lastPrinted>
  <dcterms:created xsi:type="dcterms:W3CDTF">2000-01-25T14:24:00Z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