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GBG" sheetId="1" r:id="rId1"/>
    <sheet name="PTE" sheetId="2" r:id="rId2"/>
    <sheet name="Atut" sheetId="3" r:id="rId3"/>
    <sheet name="Asset" sheetId="4" r:id="rId4"/>
    <sheet name="Inwestycje" sheetId="5" r:id="rId5"/>
    <sheet name="PBKLeasing" sheetId="6" r:id="rId6"/>
    <sheet name="Property" sheetId="7" r:id="rId7"/>
    <sheet name="Ochrona" sheetId="8" r:id="rId8"/>
    <sheet name="Maklerski" sheetId="9" r:id="rId9"/>
    <sheet name="Doradztwo" sheetId="10" r:id="rId10"/>
    <sheet name="Życie" sheetId="11" r:id="rId11"/>
    <sheet name="BACALeasing" sheetId="12" r:id="rId12"/>
    <sheet name="GCG" sheetId="13" r:id="rId13"/>
    <sheet name="GBGSerwis" sheetId="14" r:id="rId14"/>
    <sheet name="Arkusz4" sheetId="15" r:id="rId15"/>
  </sheets>
  <externalReferences>
    <externalReference r:id="rId18"/>
  </externalReferences>
  <definedNames/>
  <calcPr fullCalcOnLoad="1"/>
</workbook>
</file>

<file path=xl/sharedStrings.xml><?xml version="1.0" encoding="utf-8"?>
<sst xmlns="http://schemas.openxmlformats.org/spreadsheetml/2006/main" count="2375" uniqueCount="1677">
  <si>
    <t xml:space="preserve">      16. Zmiana stanu zobowiązań z tytułu papierów wartościowych</t>
  </si>
  <si>
    <t xml:space="preserve">      17. Zmiana stanu innych zobowiązań</t>
  </si>
  <si>
    <t xml:space="preserve">      18. Zmiana stanu rozliczeń międzyokresowych</t>
  </si>
  <si>
    <t xml:space="preserve">      19. Zmiana stanu przychodów przyszłych okresów</t>
  </si>
  <si>
    <t xml:space="preserve">      20. Pozostałe korekty</t>
  </si>
  <si>
    <t>B. PRZEPŁYWY PIENIĘŻNE NETTO Z DZIAŁALNOŚCI INWESTYCYJNEJ (I-II)</t>
  </si>
  <si>
    <t xml:space="preserve">   I. Wpływy z działalności inwestycyjnej</t>
  </si>
  <si>
    <t xml:space="preserve">      1. Sprzedaż wartości niematerialnych i prawnych</t>
  </si>
  <si>
    <t xml:space="preserve">      2. Sprzedaż składników rzeczowego majątku trwałego</t>
  </si>
  <si>
    <t xml:space="preserve">      3. Sprzedaż akcji i udziałów w jednostkach zależnych</t>
  </si>
  <si>
    <t xml:space="preserve">      4. Sprzedaż akcji i udziałów w jednostkach stowarzyszonych </t>
  </si>
  <si>
    <t xml:space="preserve">      5. Sprzedaż akcji i udziałów  w jednostce dominującej</t>
  </si>
  <si>
    <t xml:space="preserve">      6. Sprzedaż akcji i udziałów w innych jednostkach, pozostałych papierów wartościowych (w tym również przeznaczonych do obrotu) i innych praw majątkowych</t>
  </si>
  <si>
    <t xml:space="preserve">      7. Pozostałe wpływy</t>
  </si>
  <si>
    <t xml:space="preserve">   II. Wydatki z tytułu działalności inwestycyjnej </t>
  </si>
  <si>
    <t xml:space="preserve">      1. Nabycie wartości niematerialnych i prawnych</t>
  </si>
  <si>
    <t xml:space="preserve">      2. Nabycie składników rzeczowego majątku trwałego</t>
  </si>
  <si>
    <t xml:space="preserve">      3. Nabycie akcji i udziałów w jednostkach zależnych</t>
  </si>
  <si>
    <t xml:space="preserve">      4. Nabycie akcji i udziałów w jednostkach stowarzyszonych </t>
  </si>
  <si>
    <t xml:space="preserve">      5. Nabycie akcji i udziałów  w jednostce dominującej</t>
  </si>
  <si>
    <t xml:space="preserve">      6. Nabycie akcji i udziałów w innych jednostkach, pozostałych papierów wartościowych (w tym również przeznaczonych do obrotu) i innych praw majątkowych</t>
  </si>
  <si>
    <t xml:space="preserve">      7. Nabycie akcji własnych do zbycia</t>
  </si>
  <si>
    <t xml:space="preserve">      8. Pozostałe wydatki</t>
  </si>
  <si>
    <t>C. PRZEPŁYWY PIENIĘŻNE NETTO Z DZIAŁALNOŚCI FINANSOWEJ (I-II)</t>
  </si>
  <si>
    <t xml:space="preserve">   I. Wpływy z działalności finansowej</t>
  </si>
  <si>
    <t xml:space="preserve">      1. Zaciągnięcie długoterminowych kredytów od banków</t>
  </si>
  <si>
    <t xml:space="preserve">      2. Zaciągnięcie długoterminowych pożyczek od innych niż banki instytucji finansowych</t>
  </si>
  <si>
    <t xml:space="preserve">      3. Emisja obligacji lub innych dłużnych papierów wartościowych dla innych instytucji finansowych</t>
  </si>
  <si>
    <t xml:space="preserve">      4. Zwiększenie stanu zobowiązań podporządkowanych</t>
  </si>
  <si>
    <t xml:space="preserve">      5. Wpływy z emisji akcji własnych</t>
  </si>
  <si>
    <t xml:space="preserve">      6. Dopłaty do kapitału</t>
  </si>
  <si>
    <t xml:space="preserve">   II. Wydatki z tytułu działalności finansowej</t>
  </si>
  <si>
    <t xml:space="preserve">      1. Spłata długoterminowych kredytów na rzecz banków</t>
  </si>
  <si>
    <t xml:space="preserve">      2. Spłata długoterminowych pożyczek na rzecz innych niż banki instytucji finansowych</t>
  </si>
  <si>
    <t xml:space="preserve">      3. Wykup obligacji lub innych papierów wartościowych od innych instytucji finansowych</t>
  </si>
  <si>
    <t xml:space="preserve">      4. Zmniejszenie stanu zobowiązań podporządkowanych</t>
  </si>
  <si>
    <t xml:space="preserve">      5. Koszty emisji akcji własnych</t>
  </si>
  <si>
    <t xml:space="preserve">      6. Umorzenie akcji własnych</t>
  </si>
  <si>
    <t xml:space="preserve">      7. Płatności dywidend i innych wypłat na rzecz właścicieli</t>
  </si>
  <si>
    <t xml:space="preserve">      8. Wypłaty z zysku dla osób zarządzajcych i nadzorujących</t>
  </si>
  <si>
    <t xml:space="preserve">      9. Wydatki na cele społecznie użyteczne</t>
  </si>
  <si>
    <t xml:space="preserve">      10. Płatności zobowiązań z tytułu umów leasingu finansowego</t>
  </si>
  <si>
    <t xml:space="preserve">      11. Pozostałe wydatki</t>
  </si>
  <si>
    <t>D. PRZEPŁYWY PIENIĘŻNE NETTO, RAZEM (A+/-B+/-C)</t>
  </si>
  <si>
    <t>E. BILANSOWA ZMIANA STANU ŚRODKÓW PIENIĘŻNYCH</t>
  </si>
  <si>
    <t xml:space="preserve">   - w  tym zmiana stanu środków pieniężnych z tytułu różnic kursowych od walut obcych</t>
  </si>
  <si>
    <t>F. ŚRODKI PIENIĘŻNE NA POCZĄTEK OKRESU</t>
  </si>
  <si>
    <t>G. ŚRODKI PIENIĘŻNE NA KONIEC OKRESU (F+/- D)</t>
  </si>
  <si>
    <t>Stan w PLN na 31.12.2000</t>
  </si>
  <si>
    <t>Stan w PLN na 30.06.2001</t>
  </si>
  <si>
    <t>Środki pieniężne</t>
  </si>
  <si>
    <t xml:space="preserve">Zobowiązania krótkoterminowe </t>
  </si>
  <si>
    <t>Środki pieniężne w kasie</t>
  </si>
  <si>
    <t>Zobowiązania wobec klientów</t>
  </si>
  <si>
    <t>Środki pieniężne na rachunkach bankowych</t>
  </si>
  <si>
    <t>Zobowiązania wobec jednostek powiązanych kapitałowo</t>
  </si>
  <si>
    <t>Zobowiązania wobec biur maklerskich i innych domów maklerskich:</t>
  </si>
  <si>
    <t>Należności krótkoterminowe</t>
  </si>
  <si>
    <t>a) z tytułu zawartych transakcji</t>
  </si>
  <si>
    <t>Należności od klientów</t>
  </si>
  <si>
    <t>b) pozostałe</t>
  </si>
  <si>
    <t>II. Dywidendy otrzymane</t>
  </si>
  <si>
    <t>III. Pozostałe</t>
  </si>
  <si>
    <t>Dodatni wynik na sprzedanych papierach wartościowych</t>
  </si>
  <si>
    <t>Dodatni wynik na sprzedaży jednostek uczestnictwa</t>
  </si>
  <si>
    <t>Manometry S.A.</t>
  </si>
  <si>
    <t>Transpost S.A.</t>
  </si>
  <si>
    <t>Bancom Sp. z o.o.</t>
  </si>
  <si>
    <t>Pozostałe przychody operacyjne</t>
  </si>
  <si>
    <t>Przychody ze sprzedaży rzeczowych skladników majątku trwałego</t>
  </si>
  <si>
    <t>Różnice zaokrągleń</t>
  </si>
  <si>
    <t>Inne przychody operacyjne</t>
  </si>
  <si>
    <t>Zyski nadzwyczajne</t>
  </si>
  <si>
    <t>OGÓŁEM PRZYCHODY</t>
  </si>
  <si>
    <t>KOSZTY</t>
  </si>
  <si>
    <t>A. Koszty działalności operacyjnej</t>
  </si>
  <si>
    <t>I. Zużycie materiałów i energii</t>
  </si>
  <si>
    <t>II. Usługi obce</t>
  </si>
  <si>
    <t>III. Podatki i opłaty</t>
  </si>
  <si>
    <t>IV. Wynagrodzenia</t>
  </si>
  <si>
    <t>V. Świadczenia na rzecz pracowników</t>
  </si>
  <si>
    <t>VI. Amortyzacja</t>
  </si>
  <si>
    <t>VII. Pozostałe</t>
  </si>
  <si>
    <t>Pozostałe</t>
  </si>
  <si>
    <t>B. Pozostałe koszty operacyjne</t>
  </si>
  <si>
    <t>I. Pozostałe koszty operacyjne</t>
  </si>
  <si>
    <t>Rezerwy</t>
  </si>
  <si>
    <t>C. Koszty finansowe</t>
  </si>
  <si>
    <t>I. Odsetki do zaplacenia - w tym dla jedn. zależnych i stow.</t>
  </si>
  <si>
    <t>II. Pozostałe</t>
  </si>
  <si>
    <t>Ujemny wynik na sprzedanych papierach wartościowych</t>
  </si>
  <si>
    <t>Ujemny wynik na sprzedaży jednostek uczestnictwa</t>
  </si>
  <si>
    <t>Prowizje związane z emisją BKD</t>
  </si>
  <si>
    <t>Pozostałe koszty finansowe</t>
  </si>
  <si>
    <t>Koszty związane z emisją obligacji</t>
  </si>
  <si>
    <t>Straty nadzwyczajne</t>
  </si>
  <si>
    <t>OGÓŁEM KOSZTY</t>
  </si>
  <si>
    <t>WYNIK BRUTTO</t>
  </si>
  <si>
    <t>KOREKTA O KOSZTY NIE STANOWIĄCE KOSZTU UZYSKANIA PRZYCHODU</t>
  </si>
  <si>
    <t>A. Korekta przychodów</t>
  </si>
  <si>
    <t>B. Korekty księgowe (- zwiększenia kosztów, + zmniejszenia kosztów)</t>
  </si>
  <si>
    <t>I. Korekta o rozliczenia międzyokresowe kosztów uzysk.przychodu</t>
  </si>
  <si>
    <t>Zmiana stanu produktów</t>
  </si>
  <si>
    <t>II. Koszty trwale nie stanowiące kosztu uzyskania przychodu</t>
  </si>
  <si>
    <t>Usługi obce</t>
  </si>
  <si>
    <t>Podatki i opłaty</t>
  </si>
  <si>
    <t>III. Koszty przejściowo nie stanowiące kosztu uzyskania</t>
  </si>
  <si>
    <t>IV. Nadwyżka kosztów reprezentacji ponad limit (0,25% przychodu)</t>
  </si>
  <si>
    <t>C. Koszty podatkowe stanowiące koszt uzyskania, ale nie ujęte w wyniku 1999 r.</t>
  </si>
  <si>
    <t>OGÓŁEM KOSZTY UZYSKANIA PRZYCHODU</t>
  </si>
  <si>
    <t>Przychody nie stanowiące przychodu w rozumieniu ustawy o PDOP</t>
  </si>
  <si>
    <t>DOCHÓD/STRATA</t>
  </si>
  <si>
    <t>PODSTAWA OPODATKOWANIA</t>
  </si>
  <si>
    <t>ZALICZKA NA PODATEK DOCHODOWY</t>
  </si>
  <si>
    <t>Rozwiązanie rezerwy na podatek dochodowy</t>
  </si>
  <si>
    <t>RMK</t>
  </si>
  <si>
    <t>Inne obowiązkowe obciążenia wyniku finansowego (dywidendy i korekty 2000 roku)</t>
  </si>
  <si>
    <t>WYNIK NETTO</t>
  </si>
  <si>
    <t>Stan na 30.06.01</t>
  </si>
  <si>
    <t>A.Majątek trwały</t>
  </si>
  <si>
    <t xml:space="preserve">  I.Wartości niematerialne i prawne</t>
  </si>
  <si>
    <t xml:space="preserve">  1.Koszty org. pon.przy założ. lub późn. rozszerz.sp.akc.</t>
  </si>
  <si>
    <t xml:space="preserve">  2.Koszty prac rozwojowych</t>
  </si>
  <si>
    <t xml:space="preserve">  3.Wartość firmy</t>
  </si>
  <si>
    <t xml:space="preserve">  4.Inne wartości niematerialne i prawne</t>
  </si>
  <si>
    <t xml:space="preserve">  5.Zaliczki na poczet wartości niematerialnych i prawnych</t>
  </si>
  <si>
    <t xml:space="preserve"> II.Rzeczowy majątek trwały</t>
  </si>
  <si>
    <t xml:space="preserve">   1.Grunty własne</t>
  </si>
  <si>
    <t xml:space="preserve">   2.Budynki i budowle</t>
  </si>
  <si>
    <t xml:space="preserve">   3.Urządzenia techniczne i maszyny</t>
  </si>
  <si>
    <t xml:space="preserve">   4.Środki transportu</t>
  </si>
  <si>
    <t xml:space="preserve">   5.Pozostałe środki trwałe</t>
  </si>
  <si>
    <t xml:space="preserve">   6.Inwestycje rozpoczęte</t>
  </si>
  <si>
    <t xml:space="preserve">   7.Zaliczki na poczet inwestycji</t>
  </si>
  <si>
    <t xml:space="preserve"> III.Finansowy majątek trwały</t>
  </si>
  <si>
    <t xml:space="preserve">   1.Udziały i akcje</t>
  </si>
  <si>
    <t xml:space="preserve">   2.Papiery wartościowe</t>
  </si>
  <si>
    <t xml:space="preserve">   3.Udzielone pożyczki długoterminowe</t>
  </si>
  <si>
    <t xml:space="preserve">   4.Inne składniki finansowego majątku trwałego</t>
  </si>
  <si>
    <t xml:space="preserve"> IV.Należności długoterminowe</t>
  </si>
  <si>
    <t>B.Majątek obrotowy</t>
  </si>
  <si>
    <t xml:space="preserve"> I.Zapasy</t>
  </si>
  <si>
    <t xml:space="preserve">   1.Materiały</t>
  </si>
  <si>
    <t xml:space="preserve">   2.Półprodukty i produkty w toku</t>
  </si>
  <si>
    <t xml:space="preserve">   3.Produkty gotowe</t>
  </si>
  <si>
    <t xml:space="preserve">   4.Towary</t>
  </si>
  <si>
    <t xml:space="preserve">   5.Zaliczki na poczet dostaw</t>
  </si>
  <si>
    <t xml:space="preserve"> II.Należności i roszczenia</t>
  </si>
  <si>
    <t xml:space="preserve">   1.Należności z tytułu dostaw i usług</t>
  </si>
  <si>
    <t xml:space="preserve">   2.Należności z tytułu podatków, dotacji i ubezp. społ.</t>
  </si>
  <si>
    <t xml:space="preserve">   3.Należności wewnątrzzakładowe</t>
  </si>
  <si>
    <t xml:space="preserve">   4.Pozostałe należności</t>
  </si>
  <si>
    <t xml:space="preserve">   5.Należności dochodzone na drodze sądowej</t>
  </si>
  <si>
    <t xml:space="preserve"> III.Papiery wartościowe przeznaczone do obrotu</t>
  </si>
  <si>
    <t xml:space="preserve">   1.Udziały lub akcje własne do zbycia</t>
  </si>
  <si>
    <t xml:space="preserve">   2.Inne papiery wartościowe</t>
  </si>
  <si>
    <t xml:space="preserve"> IV.Srodki pieniężne</t>
  </si>
  <si>
    <t xml:space="preserve">   1.Środki pieniężne w kasie</t>
  </si>
  <si>
    <t xml:space="preserve">   2.Środki pieniężne w banku</t>
  </si>
  <si>
    <t xml:space="preserve">   3.Inne środki pieniężne ( weksle, czeki obce itp.)</t>
  </si>
  <si>
    <t>C.Rozliczenia międzyokresowe</t>
  </si>
  <si>
    <t>Opłaty na rzecz izby gospodarczej</t>
  </si>
  <si>
    <t>Narzuty na wynagrodzenia</t>
  </si>
  <si>
    <t>Świadczenia na rzecz pracowników</t>
  </si>
  <si>
    <t>Koszty utrzymania i wynajmu budynków</t>
  </si>
  <si>
    <t>Pozostałe koszty rzeczowe</t>
  </si>
  <si>
    <t>Podatki i inne opłaty o charakterze publicznoprawnym</t>
  </si>
  <si>
    <t>Prowizje i inne opłaty</t>
  </si>
  <si>
    <t xml:space="preserve">Pozostałe </t>
  </si>
  <si>
    <t>Zysk (strata) z działalności maklerskiej (I-II)</t>
  </si>
  <si>
    <t>Przychody z operacyjnych i handlowych papierów wartościowych i innych praw majątkowych</t>
  </si>
  <si>
    <t xml:space="preserve"> Dywidendy i inne udziały w zyskach</t>
  </si>
  <si>
    <t>Odsetki</t>
  </si>
  <si>
    <t>Korekty aktualizujące wartość</t>
  </si>
  <si>
    <t>Przychody ze sprzedaży netto</t>
  </si>
  <si>
    <t>Koszty z tytułu operacyjnych i handlowych papierów wartościowych i innych praw majątkowych</t>
  </si>
  <si>
    <t>Koszty nabycia sprzedanych papierów wartościowych i innych praw majątkowych</t>
  </si>
  <si>
    <t>Zysk (strata) z operacji operacyjnymi i handlowymi papierami wartościowymi i innymi prawami majątkowymi (IV-V)</t>
  </si>
  <si>
    <t>Przychody z lokacyjnych papierów wartościowych, udziałów i innych praw majątkowych</t>
  </si>
  <si>
    <t>Przychody ze sprzedaży lub umorzenia</t>
  </si>
  <si>
    <t>Odpis dyskonta od dłużnych papierów wartościowych</t>
  </si>
  <si>
    <t>Koszty z tytułu lokacyjnych papierów wartościowych, udziałów i innych praw majątkowych</t>
  </si>
  <si>
    <t>Koszt nabycia sprzedanych papierów wartościowych, udziałów i innych praw majątkowych oraz umorzonych jednostek uczestnictwa funduszy powierniczych i inwestycyjnych</t>
  </si>
  <si>
    <t>Amortyzacja premii od dłużnych papierów wartościowych</t>
  </si>
  <si>
    <t>Zysk (strata) z operacji lokacyjnymi papierami wartościowymi, udziałami i innymi prawami majątkowymi (VII-VIII)</t>
  </si>
  <si>
    <t>Przychody ze sprzedaży rzeczowych składników majątku trwałego oraz wartości niematerialnych i prawnych</t>
  </si>
  <si>
    <t>Wartość sprzedanych rzeczowych składników majątku trwałego oraz wartości niematerialnych i prawnych</t>
  </si>
  <si>
    <t>Nieplanowane odpisy amortyzacyjne</t>
  </si>
  <si>
    <t>XII</t>
  </si>
  <si>
    <t>Różnica wartości rezerw</t>
  </si>
  <si>
    <t>Rozwiązanie rezerw</t>
  </si>
  <si>
    <t>Utworzenie rezerw</t>
  </si>
  <si>
    <t>XIII</t>
  </si>
  <si>
    <t>Zysk (strata) z działalności operacyjnej (III+VI+IX+X-XI+XII)</t>
  </si>
  <si>
    <t>XIV</t>
  </si>
  <si>
    <t>Odsetki od udzielonych pożyczek</t>
  </si>
  <si>
    <t>Odsetki od lokat i depozytów</t>
  </si>
  <si>
    <t>Pozostałe odsetki</t>
  </si>
  <si>
    <t>Dodatnie różnice kursowe</t>
  </si>
  <si>
    <t>XV</t>
  </si>
  <si>
    <t>Odsetki od kredytów i pożyczek, w tym :</t>
  </si>
  <si>
    <t xml:space="preserve"> -  dla jednostek powiązanych kapitałowo</t>
  </si>
  <si>
    <t>Ujemne różnice kursowe :</t>
  </si>
  <si>
    <t>a) zrealizowane</t>
  </si>
  <si>
    <t>b) niezrealizowane</t>
  </si>
  <si>
    <t>XVI</t>
  </si>
  <si>
    <t>Zysk (strata) z działalności gospodarczej (XIII+XIV-XV)</t>
  </si>
  <si>
    <t>XVII</t>
  </si>
  <si>
    <t>Losowe</t>
  </si>
  <si>
    <t>XVIII</t>
  </si>
  <si>
    <t>XIX</t>
  </si>
  <si>
    <t>Zysk (strata)  brutto (XVI+XVII-XVIII)</t>
  </si>
  <si>
    <t>XX</t>
  </si>
  <si>
    <t>Podatek dochodowy</t>
  </si>
  <si>
    <t>XXI</t>
  </si>
  <si>
    <t>Pozostałe obowiązkowe zmniejszenia zysku (zwiększenia straty)</t>
  </si>
  <si>
    <t>XXII</t>
  </si>
  <si>
    <t>Zysk (strata) netto (XIX-XX-XXI)</t>
  </si>
  <si>
    <t xml:space="preserve">A K T Y W A </t>
  </si>
  <si>
    <t>A.</t>
  </si>
  <si>
    <t>Koszty organizacji Spółki Akcyjnej</t>
  </si>
  <si>
    <t>Środki transportu</t>
  </si>
  <si>
    <t>B.</t>
  </si>
  <si>
    <t>Należnosci z tytułu podatków</t>
  </si>
  <si>
    <t>Papiery wartościowe przeznaczone do obrotu</t>
  </si>
  <si>
    <t>Udziały lub akcje własne do zbycia</t>
  </si>
  <si>
    <t>Środki pieniężne w banku</t>
  </si>
  <si>
    <t>C.</t>
  </si>
  <si>
    <t>Czynne rozliczenie międzyokresowe kosztów</t>
  </si>
  <si>
    <t xml:space="preserve">S U M A       A K T Y W Ó W </t>
  </si>
  <si>
    <t xml:space="preserve">P A S Y W A </t>
  </si>
  <si>
    <t>KAPITAŁ  WŁASNY</t>
  </si>
  <si>
    <t>Kapitał podstawowy</t>
  </si>
  <si>
    <t>Kapitał zapasowy</t>
  </si>
  <si>
    <t>Nie podzielony wynik finansowy z roku ubiegłego</t>
  </si>
  <si>
    <t>Wynik finansowy netto roku obrotowego</t>
  </si>
  <si>
    <t>ZOBOWIĄZANIA DŁUGOTERMINOWE</t>
  </si>
  <si>
    <t>D.</t>
  </si>
  <si>
    <t>ZOBOWIĄZANIA KRÓTKOTERMINOWE I FUNDUSZE SPECJALNE</t>
  </si>
  <si>
    <t>Zobowiązania krótkoterminowe</t>
  </si>
  <si>
    <t>Pożyczki,obligacje i papiery wartościowe</t>
  </si>
  <si>
    <t>Zobowiązania z tytułu podatków</t>
  </si>
  <si>
    <t>E.</t>
  </si>
  <si>
    <t>ROZLICZENIA MIĘDZYOKRESOWE I PRZYCHODY PRZYSZŁYCH OKRESÓW</t>
  </si>
  <si>
    <t>Bierne rozliczenie międzyokresowe kosztów</t>
  </si>
  <si>
    <t xml:space="preserve">S U M A   P A S Y W Ó W </t>
  </si>
  <si>
    <t>PBK Leasing S.A.</t>
  </si>
  <si>
    <t xml:space="preserve">Rachunek zysków i strat - </t>
  </si>
  <si>
    <t>w układzie narastającym</t>
  </si>
  <si>
    <t>Rachunek zysków i strat PBK Leasing S.A. na koniec czerwca 2001 r.</t>
  </si>
  <si>
    <t>PRZYCHODY OPERACYJNE</t>
  </si>
  <si>
    <t>Przychody ze sprzedaży</t>
  </si>
  <si>
    <t>Opłaty wstępne leasing operacyjny</t>
  </si>
  <si>
    <t>Raty leasingowe leasing operacyjny</t>
  </si>
  <si>
    <t>Prowizje leasing operacyjny i kapitałowy</t>
  </si>
  <si>
    <t>Raty leasingowe leasing kapitałowy</t>
  </si>
  <si>
    <t>Opłaty manipulacyjne i przeniesinie własności</t>
  </si>
  <si>
    <t>Prowizje faktoringowe</t>
  </si>
  <si>
    <t>Przychody ze sprzedaży towarów i materiałów</t>
  </si>
  <si>
    <t>KOSZTY DZIAŁALNOŚCI OPERACYJNEJ</t>
  </si>
  <si>
    <t>Zużycie materiałów</t>
  </si>
  <si>
    <t>energia</t>
  </si>
  <si>
    <t>czynsz</t>
  </si>
  <si>
    <t>telefony</t>
  </si>
  <si>
    <t>pracownicy etatowi</t>
  </si>
  <si>
    <t>Rada Nadzorcza</t>
  </si>
  <si>
    <t>prace zlecone</t>
  </si>
  <si>
    <t>składki ZUS</t>
  </si>
  <si>
    <t>szkolenie pracowników</t>
  </si>
  <si>
    <t>świadczenia socjalne</t>
  </si>
  <si>
    <t>leasing</t>
  </si>
  <si>
    <t>własne środki trwałe</t>
  </si>
  <si>
    <t>Pozostałe koszty</t>
  </si>
  <si>
    <t>podróże służbowe i ryczałty benzynowe</t>
  </si>
  <si>
    <t>reprezentacja i reklama</t>
  </si>
  <si>
    <t>ubezpieczenia majątkowe</t>
  </si>
  <si>
    <t>prowizje</t>
  </si>
  <si>
    <t>pozostałe koszty</t>
  </si>
  <si>
    <t>Wartość sprzedanych towarów i materiałów</t>
  </si>
  <si>
    <t>ZYSK ZE SPRZEDAŻY (A-B)</t>
  </si>
  <si>
    <t>POZOSTAŁE PRZYCHODY OPERACYJNE</t>
  </si>
  <si>
    <t>Sprzedaż składników majątku trwałego</t>
  </si>
  <si>
    <t>POZOSTAŁE KOSZTY OPERACYJNE</t>
  </si>
  <si>
    <t>Wartość sprzedanych środków trwałych</t>
  </si>
  <si>
    <t>Inne zmniejszenia majątku trwałego</t>
  </si>
  <si>
    <t>ZYSK (STRATA) NA DZIAŁALNOŚCI OPERACYJNEJ (C+D-E)</t>
  </si>
  <si>
    <t>PRZYCHODY FINANSOWE</t>
  </si>
  <si>
    <t>Odsetki od środków na rachunkach bankowych</t>
  </si>
  <si>
    <t>Odsetki od nieterminowych płatności</t>
  </si>
  <si>
    <t>KOSZTY FINANSOWE</t>
  </si>
  <si>
    <t>Odsetki i prowizje od kredytów</t>
  </si>
  <si>
    <t>ZYSK (STRATA) NA DZIAŁALNOŚCI GOSPODARCZEJ (F+G-H)</t>
  </si>
  <si>
    <t>ZYSKI NADZWYCZAJNE</t>
  </si>
  <si>
    <t>STRATY NADZWYCZAJNE</t>
  </si>
  <si>
    <t>ZYSK (STRATA) BRUTTO (I+J-K)</t>
  </si>
  <si>
    <t>OBOWIĄZKOWE OBCIĄŻENIA WYNIKU FINANSOWEGO</t>
  </si>
  <si>
    <t>ZYSK (STRATA) NETTO (L-M)</t>
  </si>
  <si>
    <t>1. Koszty organizacji poniesione przy założeniu lub późniejszym rozszerzeniu spółki akcyjnej</t>
  </si>
  <si>
    <t>2. Wartość firmy</t>
  </si>
  <si>
    <t>3. Inne wartości niematerialne i prawne</t>
  </si>
  <si>
    <t>4. Zaliczki na poczet wartości niematerialnych                                 i prawnych</t>
  </si>
  <si>
    <t>B. Lokaty</t>
  </si>
  <si>
    <t>I. Nieruchomości</t>
  </si>
  <si>
    <t>3. Inwestycje budowlane i zaliczki na poczet tych inwestycji</t>
  </si>
  <si>
    <t>II. Lokaty w jednostkach zależnych i stowarzyszonych</t>
  </si>
  <si>
    <t>1. Akcje i udziały w jednostkach zależnych                                                  i stowarzyszonych</t>
  </si>
  <si>
    <t>2. Pożyczki dla jednostek zależnych i stowarzyszonych oraz dłużne papiery wartościowe emitowane przez te jednostki</t>
  </si>
  <si>
    <t>3. Pozostałe udziały i akcje</t>
  </si>
  <si>
    <t>4. Pożyczki dla jednostek, w których ubezpieczyciel posiada udziały i akcje oraz dłużne papiery wartościowe tych jednostek</t>
  </si>
  <si>
    <t>III. Inne lokaty finansowe</t>
  </si>
  <si>
    <t>1. Akcje, udziały, inne papiery wartościowe  o zmiennej kwocie dochodu oraz jednostki uczestnictwa w funduszach powierniczych</t>
  </si>
  <si>
    <t>2. Dłużne papiery wartościowe i inne papiery wartościowe o stałej kwocie dochodu</t>
  </si>
  <si>
    <t>3. Udziały we wspólnych przedsięwzięciach lokacyjnych</t>
  </si>
  <si>
    <t>4. Pożyczki hipoteczne</t>
  </si>
  <si>
    <t>5. Pozostałe pożyczki</t>
  </si>
  <si>
    <t>6. Lokaty terminowe w instytucjach finansowych</t>
  </si>
  <si>
    <t>7. Pozostałe lokaty</t>
  </si>
  <si>
    <t>IV. Należności depozytowe od cedentów</t>
  </si>
  <si>
    <t>C. Lokaty funduszów ubezpieczeń na życie na rachunek i ryzyko ubezpieczającego</t>
  </si>
  <si>
    <t>D. Należności i roszczenia</t>
  </si>
  <si>
    <t>I. Należności i roszczenia z tytułu ubezpieczeń bezpośrednich</t>
  </si>
  <si>
    <t>1. Należności od ubezpieczających</t>
  </si>
  <si>
    <t>2. Należności od pośredników ubezpieczeniowych</t>
  </si>
  <si>
    <t>3. Inne należności</t>
  </si>
  <si>
    <t>II. Należności z tytułu reasekuracji</t>
  </si>
  <si>
    <t>III. Inne należności i roszczenia</t>
  </si>
  <si>
    <t>1.Należności od budżetu</t>
  </si>
  <si>
    <t>2. Pozostałe należności i roszczenia</t>
  </si>
  <si>
    <t>E. Inne składniki majątku</t>
  </si>
  <si>
    <t>I. Rzeczowe składniki majątku</t>
  </si>
  <si>
    <t>1. Urządzenia techniczne, maszyny, środki transportu i pozostałe środki trwałe</t>
  </si>
  <si>
    <t>2. Pozostałe inwestycje</t>
  </si>
  <si>
    <t>3. Zaliczki na poczet tych inwestycji</t>
  </si>
  <si>
    <t>4. Zapasy</t>
  </si>
  <si>
    <t>II.  Środki pieniężne</t>
  </si>
  <si>
    <t>3. Inne środki pieniężne (weksle, czeki obce itp.)</t>
  </si>
  <si>
    <t>III. Akcje własne do zbycia</t>
  </si>
  <si>
    <t>IV. Pozostałe składniki majątku</t>
  </si>
  <si>
    <t>F. Rozliczenia międzyokresowe czynne</t>
  </si>
  <si>
    <t>I. Zarachowane odsetki i czynsze</t>
  </si>
  <si>
    <t>II. Inne rozliczenia międzyokresowe</t>
  </si>
  <si>
    <t>SUMA AKTYWÓW</t>
  </si>
  <si>
    <t>TUnŻ Royal PBK S.A.</t>
  </si>
  <si>
    <t>A. Kapitały własne</t>
  </si>
  <si>
    <t>I. Kapitał podstawowy</t>
  </si>
  <si>
    <t>II. Należne, lecz nie wniesione wkłady na poczet kapitału podstawowego (wielkość ujemna)</t>
  </si>
  <si>
    <t>III. Kapitał zapasowy</t>
  </si>
  <si>
    <t>1. Ze sprzedaży akcji powyżej wartości nominalnej</t>
  </si>
  <si>
    <t>2. Pozostały</t>
  </si>
  <si>
    <t>IV. Kapitał rezerwowy z aktualizacji wyceny</t>
  </si>
  <si>
    <t>V. Kapitał rezerwowy pozostały</t>
  </si>
  <si>
    <t>1. Zysk netto (wielkość dodatnia)</t>
  </si>
  <si>
    <t>2. Strata netto (wielkość ujemna)</t>
  </si>
  <si>
    <t xml:space="preserve">1. Zysk netto (wielkość dodatnia) </t>
  </si>
  <si>
    <t>B. Zobowiązania podporządkowane</t>
  </si>
  <si>
    <t>C. Rezerwy techniczno - ubezpieczeniowe</t>
  </si>
  <si>
    <t>I. Rezerwa składek i rezerwa na pokrycie ryzyka niewygasłego</t>
  </si>
  <si>
    <t>1. Rezerwy brutto</t>
  </si>
  <si>
    <t>2. Udział reasekuratorów</t>
  </si>
  <si>
    <t>II. Rezerwa ubezpieczeń na życie</t>
  </si>
  <si>
    <t>III. Rezerwy na niewypłacone odszkodowania i świadczenia</t>
  </si>
  <si>
    <t>1. Rezerwa brutto</t>
  </si>
  <si>
    <t>IV. Rezerwy na premie i rabaty dla ubezpieczonych</t>
  </si>
  <si>
    <t>V. Rezerwy na wyrównanie szkodowości (ryzyka)</t>
  </si>
  <si>
    <t>VI. Pozostał rezerwy techniczno - ubezpieczeniowe</t>
  </si>
  <si>
    <t>D. Rezerwy techniczno - ubezpieczeniowe dla ubezpieczeń na życie, jeżeli ryzyko lokaty ponosi ubezpieczający</t>
  </si>
  <si>
    <t>E. Pozostałe rezerwy</t>
  </si>
  <si>
    <t>1. Rezerwy na podatek dochodowy od osób prawnych</t>
  </si>
  <si>
    <t>2. Inne rezerwy</t>
  </si>
  <si>
    <t>F. Zobowiązania depozytowe wobec reasekuratorów</t>
  </si>
  <si>
    <t>G. Pozostałe zobowiązania i fundusze specjalne</t>
  </si>
  <si>
    <t>I. Zobowiązania z tytułu ubezpieczeń bezpośrednich</t>
  </si>
  <si>
    <t>1. Zobowiązania wobec ubezpieczających</t>
  </si>
  <si>
    <t>2. Zobowiązania wobec pośredników ubezpieczeniowych</t>
  </si>
  <si>
    <t xml:space="preserve">3. Inne zobowiązania z tytułu ubezpieczeń </t>
  </si>
  <si>
    <t>II. Zobowiązania z tytułu reasekuracji</t>
  </si>
  <si>
    <t>III. Zobowiązania z tytułu własnych obligacji</t>
  </si>
  <si>
    <t>IV. Zobowiązania wobec instytucji finansowych</t>
  </si>
  <si>
    <t>V. Inne zobowiązania</t>
  </si>
  <si>
    <t>1. Zobowiązania wobec budżetu</t>
  </si>
  <si>
    <t>2. Pozostałe zobowiązania</t>
  </si>
  <si>
    <t>VI. Fundusze specjalne</t>
  </si>
  <si>
    <t>H. Rozliczenia międzyokresowe bierne i przychody przyszłych okresów</t>
  </si>
  <si>
    <t>1. Rozliczenia międzyokresowe bierne</t>
  </si>
  <si>
    <t>2. Przychody przyszłych okresów</t>
  </si>
  <si>
    <t>SUMA PASYWÓW</t>
  </si>
  <si>
    <t>TECHNICZNY RACHUNEK UBEZPIECZEŃ NA ŻYCIE</t>
  </si>
  <si>
    <t>Rok poprzedni</t>
  </si>
  <si>
    <t>Rok bieżący</t>
  </si>
  <si>
    <t>A</t>
  </si>
  <si>
    <t>B</t>
  </si>
  <si>
    <t>C</t>
  </si>
  <si>
    <t>I. Składki (1-2+/-3)</t>
  </si>
  <si>
    <t>1. Składki przypisane brutto</t>
  </si>
  <si>
    <t>2. Udział reasekuratorów w składce przypisanej brutto</t>
  </si>
  <si>
    <t>3. Zmiany stanu rezerw składek i na ryzyko niewygasłe na udziale własnym</t>
  </si>
  <si>
    <t>II. Przychody z lokat (1+2+3+4)</t>
  </si>
  <si>
    <t>I. Wartość sprzedanych towarów i materiałów</t>
  </si>
  <si>
    <t>II. Zużycie materiałów i energii</t>
  </si>
  <si>
    <t>III. Usługi obce</t>
  </si>
  <si>
    <t>IV. Podatki i opłaty</t>
  </si>
  <si>
    <t>V. Wynagrodzenia</t>
  </si>
  <si>
    <t>VI. Świadczenia na rzecz pracowników</t>
  </si>
  <si>
    <t>VII. Amortyzacja</t>
  </si>
  <si>
    <t>VIII. Pozostałe(+delegacje i ubezpieczenia)</t>
  </si>
  <si>
    <t>C. Zysk ze sprzedaży operacyjnej</t>
  </si>
  <si>
    <t>D. Pozostałe przychody operacyjne</t>
  </si>
  <si>
    <t>I. Przychody ze sprzedaży składników majątku trwałego</t>
  </si>
  <si>
    <t>II.  Dotacje</t>
  </si>
  <si>
    <t>III. Pozostałe przychody operacyjne</t>
  </si>
  <si>
    <t>E. Pozostałe koszty operacyjne</t>
  </si>
  <si>
    <t>I. Wartość sprzedanych składników majątku trwałego</t>
  </si>
  <si>
    <t>II. Pozostałe koszty operacyjne</t>
  </si>
  <si>
    <t>F. Zysk / Strata na działalności operacyjnej</t>
  </si>
  <si>
    <t>G. Przychody finansowe</t>
  </si>
  <si>
    <t>I.  Dywidendy z tytułłu udziałów w tym od jednostek zależnych</t>
  </si>
  <si>
    <t>II. Odsetki uzyskane</t>
  </si>
  <si>
    <t>H. Koszty finansowe</t>
  </si>
  <si>
    <t>I. Odpisy aktualizujące wartość finansowego  majątku trwałego</t>
  </si>
  <si>
    <t xml:space="preserve">II. Odsetki do zapłacenia w tym dla jednostek  zależnych </t>
  </si>
  <si>
    <t>I. Zysk / Strata brutto na działalności gospodarczej</t>
  </si>
  <si>
    <t>J. Zyski nadzwyczajne</t>
  </si>
  <si>
    <t>L. Zysk / Strata brutto</t>
  </si>
  <si>
    <t>M. Obowiązkowe obciążenia wyniku finansowego</t>
  </si>
  <si>
    <t>I. Podatek dochodowy od osób prawnych</t>
  </si>
  <si>
    <t>II. Pozostałe obowiązkowe obciążenia (rezerwa na p.dochod.)</t>
  </si>
  <si>
    <t>N. ZYSK / STRATA NETTO</t>
  </si>
  <si>
    <t>RACHUNEK ZYSKÓW I STRAT                                    PROGNOZA</t>
  </si>
  <si>
    <t>WARTOŚCI WYRAŻONE W 0,00 ZŁ</t>
  </si>
  <si>
    <t xml:space="preserve">           31 GRUDNIA 2000         31 LIPCA 2001</t>
  </si>
  <si>
    <t>Pasywa</t>
  </si>
  <si>
    <t>A. Kapitały (fundusze) własne</t>
  </si>
  <si>
    <t xml:space="preserve"> I. Wartości niematerialne i prawne</t>
  </si>
  <si>
    <t xml:space="preserve"> 1. Koszty organizacji poniesione przy założeniu lub późniejszym rozszerzeniu spółki akcyjnej</t>
  </si>
  <si>
    <t>II. Należne, lecz nie wniesione wkłady na poczet kapitału podstawowego (wartość ujemna)</t>
  </si>
  <si>
    <t xml:space="preserve"> 2. Koszty prac rozwojowych</t>
  </si>
  <si>
    <t xml:space="preserve"> 3. Wartość firmy</t>
  </si>
  <si>
    <t xml:space="preserve"> 1. Ze sprzedaży akcji powyżej ich wartości nominalnej</t>
  </si>
  <si>
    <t xml:space="preserve"> 4. Pozostałe wartości niematerialme i prawne</t>
  </si>
  <si>
    <t xml:space="preserve"> 2. Tworzony ustawowo</t>
  </si>
  <si>
    <t xml:space="preserve"> 5. Zaliczki na poczet wartości niematerialnych i prawnych</t>
  </si>
  <si>
    <t xml:space="preserve"> 3. Tworzony zgodnie ze statutem lub umową</t>
  </si>
  <si>
    <t xml:space="preserve"> 4. Z dopłat wspólników</t>
  </si>
  <si>
    <t xml:space="preserve"> 1. Grunty własne</t>
  </si>
  <si>
    <t xml:space="preserve"> 5. Inny</t>
  </si>
  <si>
    <t xml:space="preserve"> 2. Budynki i budowle</t>
  </si>
  <si>
    <t xml:space="preserve"> 3. Urządzenia techniczne i maszyny</t>
  </si>
  <si>
    <t>V. Pozostałe kapitały fundusze rezerwowe</t>
  </si>
  <si>
    <t xml:space="preserve"> 4. Środki transportu</t>
  </si>
  <si>
    <t xml:space="preserve"> 5. Pozostałe środki trwałe</t>
  </si>
  <si>
    <t xml:space="preserve"> 1. Zysk (wielkość dodatnia)</t>
  </si>
  <si>
    <t xml:space="preserve"> 6. Inwestycje rozpoczęte</t>
  </si>
  <si>
    <t xml:space="preserve"> 2. Strata (wielkość ujemna)</t>
  </si>
  <si>
    <t xml:space="preserve"> 7. Zaliczki na poczet inwestycji</t>
  </si>
  <si>
    <t xml:space="preserve"> 1. Zysk netto (wielkość dodatnia)</t>
  </si>
  <si>
    <t xml:space="preserve"> 1. Udziały i akcje</t>
  </si>
  <si>
    <t xml:space="preserve"> 2. Strata netto (wielkość ujemna)</t>
  </si>
  <si>
    <t xml:space="preserve"> 2. Papiery wartościowe</t>
  </si>
  <si>
    <t xml:space="preserve"> 3. Odpisy z wyniku finansowego bieżącego roku obrotowego</t>
  </si>
  <si>
    <t xml:space="preserve"> 3. Udzielone pożyczki długoterminowe</t>
  </si>
  <si>
    <t xml:space="preserve"> 4. Inne składniki finansowego majątku trwałego</t>
  </si>
  <si>
    <t xml:space="preserve"> 1. Rezerwy na podatek dochodowy od osób prawnych</t>
  </si>
  <si>
    <t xml:space="preserve"> 2. Pozostałe rezerwy</t>
  </si>
  <si>
    <t xml:space="preserve"> I. Zapasy</t>
  </si>
  <si>
    <t xml:space="preserve"> 1. Długoterminowe pożyczki, obligacje i inne papiery wartościowe</t>
  </si>
  <si>
    <t xml:space="preserve"> 1. Materiały</t>
  </si>
  <si>
    <t xml:space="preserve"> 2. Długoterminowe kredyty bankowe</t>
  </si>
  <si>
    <t xml:space="preserve"> 2. Półprodukty i produkty w toku</t>
  </si>
  <si>
    <t xml:space="preserve"> 3. Pozostałe zobowiązania długoterminowe</t>
  </si>
  <si>
    <t xml:space="preserve"> 3. Produkty gotowe</t>
  </si>
  <si>
    <t xml:space="preserve"> 4. Towary</t>
  </si>
  <si>
    <t xml:space="preserve"> I. Zobowiązania krótkoterminowe</t>
  </si>
  <si>
    <t xml:space="preserve"> 5. Zaliczki na poczet dostaw</t>
  </si>
  <si>
    <t xml:space="preserve"> 1. Pożyczki, obligacje i papiery wartościowe</t>
  </si>
  <si>
    <t xml:space="preserve"> II. Należności i roszczenia</t>
  </si>
  <si>
    <t xml:space="preserve"> 2. Kredyty bankowe</t>
  </si>
  <si>
    <t xml:space="preserve"> 1. Należności z tytułu dostaw i usług</t>
  </si>
  <si>
    <t xml:space="preserve"> 3. Zaliczki otrzymane na poczet dostaw</t>
  </si>
  <si>
    <t xml:space="preserve"> 2. Należności z tytułu podatków, dotacji i ubezpieczeń społecznych</t>
  </si>
  <si>
    <t xml:space="preserve"> 4. Zobowiązania z tytułu dostaw i usług</t>
  </si>
  <si>
    <t xml:space="preserve"> 3. Pozostałe należności</t>
  </si>
  <si>
    <t xml:space="preserve"> 5. Zobowiązania wekslowe</t>
  </si>
  <si>
    <t xml:space="preserve"> 4. Należności dochodzone na drodze sądowej</t>
  </si>
  <si>
    <t xml:space="preserve"> 6. Zobowiązania z tytułu podatków, ceł, ubezpieczeń społecznych</t>
  </si>
  <si>
    <t xml:space="preserve"> III. Papiery wartościowe przeznaczone do obrotu</t>
  </si>
  <si>
    <t xml:space="preserve"> 7. Zobowiązania z tytułu wynagrodzeń</t>
  </si>
  <si>
    <t xml:space="preserve"> 1. Udziały lub akcje własne do zbycia</t>
  </si>
  <si>
    <t xml:space="preserve"> 8. Pozostałe zobowiązania krótkoterminowe</t>
  </si>
  <si>
    <t xml:space="preserve"> 2. Inne papiery wartościowe</t>
  </si>
  <si>
    <t>E. Rozliczenia międzyokresowe i przychody przyszłych okresów</t>
  </si>
  <si>
    <t xml:space="preserve"> 1. Środki pieniężne w kasie</t>
  </si>
  <si>
    <t xml:space="preserve"> 1. Bierne rozliczenia międzyokresowe kosztów</t>
  </si>
  <si>
    <t xml:space="preserve"> 2. Środki pieniężne w banku</t>
  </si>
  <si>
    <t xml:space="preserve"> 2. Przychody przyszłych okresów</t>
  </si>
  <si>
    <t xml:space="preserve"> 3. Inne środki pieniężne (weksle, czeki obce itp.)</t>
  </si>
  <si>
    <t xml:space="preserve"> 1. Czynne rozliczenia międzyokresowe kosztów</t>
  </si>
  <si>
    <t xml:space="preserve"> 2. Inne rozliczenia międzyokresowe</t>
  </si>
  <si>
    <t>Koszty i straty</t>
  </si>
  <si>
    <t>Przychody i zyski</t>
  </si>
  <si>
    <t xml:space="preserve"> I. Zużycie materiałów i energii</t>
  </si>
  <si>
    <t xml:space="preserve"> I. Przychody ze sprzedaży produktów</t>
  </si>
  <si>
    <t>B. Strata na sprzedaży</t>
  </si>
  <si>
    <t>C. Pozostałe przychody operacyjne</t>
  </si>
  <si>
    <t>II. Pozostałe przychody operacyjne</t>
  </si>
  <si>
    <t>tys.PLN</t>
  </si>
  <si>
    <t>w PLN</t>
  </si>
  <si>
    <t xml:space="preserve">w PLN </t>
  </si>
  <si>
    <t>BA-Creditanstalt-Leasing Sp. z o.o. (w PLN)</t>
  </si>
  <si>
    <t>Wynik  finansowy  netto  roku obrotowego</t>
  </si>
  <si>
    <t>Finansowy majątek trwały</t>
  </si>
  <si>
    <t>Zysk netto  (wielkość  dodatnia)</t>
  </si>
  <si>
    <t>Udziały i akcje</t>
  </si>
  <si>
    <t>Strata  netto (wielkość ujemna)</t>
  </si>
  <si>
    <t xml:space="preserve">Papiery wartościowe </t>
  </si>
  <si>
    <t>Odpisy z wyniku finans.bieżącego roku obrotowego</t>
  </si>
  <si>
    <t>Udzielone pożyczki długoterminowe</t>
  </si>
  <si>
    <t>REZERWY</t>
  </si>
  <si>
    <t>Inne finansowe składniki majątku trwałego</t>
  </si>
  <si>
    <t>Rezerwy na podatek dochodowy od osób prawnych</t>
  </si>
  <si>
    <t xml:space="preserve">IV </t>
  </si>
  <si>
    <t>Należności długoterminowe</t>
  </si>
  <si>
    <t>Pozostałe rezerwy</t>
  </si>
  <si>
    <t>MAJĄTEK  OBROTOWY</t>
  </si>
  <si>
    <t>ZOBOWIĄZANIA  DŁUGOTERMINOWE</t>
  </si>
  <si>
    <t>Zapasy</t>
  </si>
  <si>
    <t>Długoterminowe pożyczki,obligacje i inne papiery wartościowe</t>
  </si>
  <si>
    <t>Materiały</t>
  </si>
  <si>
    <t>Długoterminowe kredyty bankowe</t>
  </si>
  <si>
    <t>Półprodukty i produkty w toku</t>
  </si>
  <si>
    <t>Pozostałe zobowiązania długoterminowe</t>
  </si>
  <si>
    <t>Produkty gotowe</t>
  </si>
  <si>
    <t>D</t>
  </si>
  <si>
    <t xml:space="preserve">ZOBOWIĄZANIA  KRÓTKOTERMINOWE </t>
  </si>
  <si>
    <t>Towary</t>
  </si>
  <si>
    <t>i  FUNDUSZE  SPECJALNE</t>
  </si>
  <si>
    <t>Zaliczki na poczet dostaw</t>
  </si>
  <si>
    <t>Zobowiązania   krótkoterminowe.</t>
  </si>
  <si>
    <t>Należności i roszczenia</t>
  </si>
  <si>
    <t>Pożyczki, obligacje i  papiery wartościowe</t>
  </si>
  <si>
    <t>Należności z tytułu dostaw i usług</t>
  </si>
  <si>
    <t>Kredyty bankowe</t>
  </si>
  <si>
    <t>Należności z tytułu podatków,dotacji i ZUS</t>
  </si>
  <si>
    <t>Zaliczki otrzymane na poczet dostaw</t>
  </si>
  <si>
    <t>Należności wewnątrzzakładowe</t>
  </si>
  <si>
    <t>Zobowiązania z tytułu dostaw i usług</t>
  </si>
  <si>
    <t>Pozostałe należności</t>
  </si>
  <si>
    <t>Zobowiązania wekslowe</t>
  </si>
  <si>
    <t>Należności dochodzone sądowo</t>
  </si>
  <si>
    <t>Zobowiązania z tytułu podatku, ceł  i ubezpieczeń</t>
  </si>
  <si>
    <t>Papiery wartościowe w obrocie</t>
  </si>
  <si>
    <t>Zobowiązania z tytułu wynagrodzeń</t>
  </si>
  <si>
    <t>Udziały, akcje własne do zbycia</t>
  </si>
  <si>
    <t>Zobowiązania wewnątrzzakładowe</t>
  </si>
  <si>
    <t>Inne papiery wartościowe</t>
  </si>
  <si>
    <t>Pozostałe zobowiązania krótkookresowe</t>
  </si>
  <si>
    <t>Srodki pieniężne</t>
  </si>
  <si>
    <t>Fundusze  specjalne</t>
  </si>
  <si>
    <t>Srodki pieniężne w kasie</t>
  </si>
  <si>
    <t>Srodki pieniężne w banku</t>
  </si>
  <si>
    <t>Inne środki pieniężne</t>
  </si>
  <si>
    <t>E</t>
  </si>
  <si>
    <t>ROZLICZENIA  MIĘDZYOKRESOWE</t>
  </si>
  <si>
    <t>PRZYCHODY PRZYSZŁYCH OKRESÓW</t>
  </si>
  <si>
    <t>Czynne rozliczenia międzyokresowe kosztów</t>
  </si>
  <si>
    <t>Bierne rozliczenia międzyokresowe kosztów</t>
  </si>
  <si>
    <t>Inne rozliczenia międzyokresowe</t>
  </si>
  <si>
    <t>Przychody przyszłych okresów</t>
  </si>
  <si>
    <t>Suma  aktywów</t>
  </si>
  <si>
    <t>Suma  pasywów</t>
  </si>
  <si>
    <t>Warszawa, dnia  17.07.2001</t>
  </si>
  <si>
    <t>PBK "Ochrona"  S.A.</t>
  </si>
  <si>
    <t>KOSZTY  i  STRATY</t>
  </si>
  <si>
    <t>PRZYCHODY  i   ZYSKI</t>
  </si>
  <si>
    <t>Koszty działalności gospodarczej</t>
  </si>
  <si>
    <t>Przychody ze sprzedaży i zrównane z nimi</t>
  </si>
  <si>
    <t>Wartość  sprzedanych towarów i materiałów</t>
  </si>
  <si>
    <t>Przychód ze sprzedaży  produktów</t>
  </si>
  <si>
    <t>Zużycie materiałów i energii</t>
  </si>
  <si>
    <t>Przychód ze sprzedaży  towarów  i  materiałów</t>
  </si>
  <si>
    <t>Koszt wytworzenia świadczeń na własne potrzeby</t>
  </si>
  <si>
    <t>Wynagrodzenia</t>
  </si>
  <si>
    <t>Swiadczenia na rzecz pracowników</t>
  </si>
  <si>
    <t>Amortyzacja</t>
  </si>
  <si>
    <t>Strata ze sprzedaży</t>
  </si>
  <si>
    <t>VIII</t>
  </si>
  <si>
    <t xml:space="preserve">Pozostałe koszty </t>
  </si>
  <si>
    <t>Zysk ze sprzedaży</t>
  </si>
  <si>
    <t>Przychód ze sprzedaży majątku trwałego</t>
  </si>
  <si>
    <t>Pozostałe koszty operacyjne</t>
  </si>
  <si>
    <t>Dotacje</t>
  </si>
  <si>
    <t>Wartość  sprzedanego majątku  trwałego</t>
  </si>
  <si>
    <t>Pozostałe  koszty operacyjne</t>
  </si>
  <si>
    <t>Strata na działalności operacyjnej</t>
  </si>
  <si>
    <t>Zysk na działalności operacyjnej</t>
  </si>
  <si>
    <t>Koszty finansowe</t>
  </si>
  <si>
    <t>Odpisy od wartości akcji i majątku trwałego</t>
  </si>
  <si>
    <t>Dywidendy z tytułu udziałów</t>
  </si>
  <si>
    <t>Odsetki do zapłacenia (zapłacone)</t>
  </si>
  <si>
    <t>Odsetki uzyskane</t>
  </si>
  <si>
    <t>Pozostałe przychody finansowe</t>
  </si>
  <si>
    <t>F</t>
  </si>
  <si>
    <t>Zysk brutto na działalności gospodarczej</t>
  </si>
  <si>
    <t>Strata brutto na działalności gospodarczej</t>
  </si>
  <si>
    <t>G</t>
  </si>
  <si>
    <t>H</t>
  </si>
  <si>
    <t xml:space="preserve">Zysk brutto </t>
  </si>
  <si>
    <t>Strata   brutto</t>
  </si>
  <si>
    <t>Obowiązkowe  obciążenie wyniku finansowego</t>
  </si>
  <si>
    <t>Podatek dochodowy od osób prawnych</t>
  </si>
  <si>
    <t>Inne obowiązkowe obciążenia</t>
  </si>
  <si>
    <t>J</t>
  </si>
  <si>
    <t>ZYSK  NETTO</t>
  </si>
  <si>
    <t>Strata netto</t>
  </si>
  <si>
    <t>Warszawa, dnia 17.07.2001r</t>
  </si>
  <si>
    <t>stan na dzień</t>
  </si>
  <si>
    <t>30.06.2001                                        półrocze                                          (rok bieżący)</t>
  </si>
  <si>
    <t>I. Kasa, operacje z bankiem centralnym</t>
  </si>
  <si>
    <t xml:space="preserve">II. Dłużne papiery wartościowe uprawnione do redyskontowania w banku centralnym </t>
  </si>
  <si>
    <t>III. Należności od sektora finansowego</t>
  </si>
  <si>
    <t xml:space="preserve">   1. W rachunku bieżącym</t>
  </si>
  <si>
    <t xml:space="preserve">   2. Terminowe</t>
  </si>
  <si>
    <t>IV. Należności od sektora niefinansowego i sektora budżetowego</t>
  </si>
  <si>
    <t>V. Należności z tytułu zakupionych papierów wartościowych z otrzymanym przyrzeczeniem odkupu</t>
  </si>
  <si>
    <t>VI. Dłużne papiery wartościowe</t>
  </si>
  <si>
    <t xml:space="preserve">VII. Akcje i udziały w jednostkach zależnych </t>
  </si>
  <si>
    <t xml:space="preserve">VIII. Akcje i udziały w jednostkach stowarzyszonych </t>
  </si>
  <si>
    <t>IX. Akcje i udziały w pozostałych jednostkach</t>
  </si>
  <si>
    <t>X. Pozostałe papiery wartościowe i inne prawa majątkowe</t>
  </si>
  <si>
    <t>XI. Wartości niematerialne i prawne</t>
  </si>
  <si>
    <t>XII. Rzeczowy majątek trwały</t>
  </si>
  <si>
    <t>XIII. Akcje własne do zbycia</t>
  </si>
  <si>
    <t>XIV. Inne aktywa</t>
  </si>
  <si>
    <t xml:space="preserve">   1. Przejęte aktywa -  do zbycia</t>
  </si>
  <si>
    <t xml:space="preserve">   2. Pozostałe</t>
  </si>
  <si>
    <t xml:space="preserve">XV. Rozliczenia międzyokresowe </t>
  </si>
  <si>
    <t xml:space="preserve">   1. Z tytułu odroczonego podatku dochodowego</t>
  </si>
  <si>
    <t xml:space="preserve">   2. Pozostałe rozliczenia międzyokresowe</t>
  </si>
  <si>
    <t>AKTYWA RAZEM</t>
  </si>
  <si>
    <t>Przychody ze świadczenia usług maklerskich i doradczych</t>
  </si>
  <si>
    <t>Prowizje</t>
  </si>
  <si>
    <t xml:space="preserve">z tytułu oferowania papierów  wartościowych </t>
  </si>
  <si>
    <t>z tytułu przyjmowania kupna i umarzania jednostek uczestnictwa funduszy powierniczych i inwestycyjnych</t>
  </si>
  <si>
    <t>Inne przychody</t>
  </si>
  <si>
    <t>z tytułu prowadzenia rachunków papierów  wartościowych i rachunków  pieniężnych klientów</t>
  </si>
  <si>
    <t>z tytułu oferowania papierów  wartościowych</t>
  </si>
  <si>
    <t>z tytułu prowadzenia rejestrów  nabywców  papierów  wartościowych</t>
  </si>
  <si>
    <t>z tytułu zarządzania cudzym pakietem papierów wartościowych  na zlecenie</t>
  </si>
  <si>
    <t>z tytułu  zawodowego doradztwa w zakresie obrotu papierami wartościowymi</t>
  </si>
  <si>
    <t>z tytułu  reprezentowania biur i domów  maklerskich na regulowanych rynkach papierów wartościowych</t>
  </si>
  <si>
    <t xml:space="preserve">pozostałe </t>
  </si>
  <si>
    <t>Koszty działalności maklerskiej</t>
  </si>
  <si>
    <t>Opłaty na rzecz regulowanych rynków papierów wartościowych oraz nz rzecz Krajowego Depozytu Papierów Wartościowych</t>
  </si>
  <si>
    <t>Opłata na rzecz izby gospodarczej</t>
  </si>
  <si>
    <t>Zużycie materiałów  i energii</t>
  </si>
  <si>
    <t>Koszty utrzymania i wynajmu  budynków</t>
  </si>
  <si>
    <t>Zysk ( strata ) z działalności maklerskiej ( I - II )</t>
  </si>
  <si>
    <t xml:space="preserve">Przychody z operacyjnych i  handlowych papierów wartościowych i innych ptraw majątkowych </t>
  </si>
  <si>
    <t>Dywidend i inne udziały w  zyskach</t>
  </si>
  <si>
    <t xml:space="preserve">Pozostałe  </t>
  </si>
  <si>
    <t>Koszty nabycia sprzedanych papierów  wartościowych i innych praw majątkowych</t>
  </si>
  <si>
    <t xml:space="preserve">Zysk ( strata ) z operacji operacyjnymi i handlowymi papierami wartościowymi i innymi prawami majątkowymi (IV - V) </t>
  </si>
  <si>
    <t>Dywidendy i inne  udziały  w  zyskach</t>
  </si>
  <si>
    <t>Przychody ze sprzedaży lub umorzenia netto</t>
  </si>
  <si>
    <t>Odpisy dyskonta od dłużnych papierów wartościowych</t>
  </si>
  <si>
    <t>Koszty nabycia sprzedanych papierów  wartościowych, udziałów i innych praw majątkowych oraz umorzonych jednostek uczestnictwa fundusz powierniczych i inwestycyjnych</t>
  </si>
  <si>
    <t>Zysk ( strata ) z operacji lokacyjnymi papierami wartościowymi,udziałami i innymi prawami majątkowymi (VII-VIII)</t>
  </si>
  <si>
    <t xml:space="preserve">Przychody ze sprzedanych rzeczowych składników  majątku trwałego i wartości niematerialnych  i prawnych </t>
  </si>
  <si>
    <t xml:space="preserve">Pozostałe koszty operacyjne </t>
  </si>
  <si>
    <t>Wartość sprzedanych rzeczowych składników majątku trwałego oraz wartości niematerialnych  i prawnych</t>
  </si>
  <si>
    <t>Zysk ( strata ) z działalności operacyjnej (III+VI+IX+X-XI+XII)</t>
  </si>
  <si>
    <t>Odsetki od kredytów i pożyczek, w tym od podmiotów powiązanych kapitałowo</t>
  </si>
  <si>
    <t>Ujemne różnice kursowe</t>
  </si>
  <si>
    <t>zrealizowane</t>
  </si>
  <si>
    <t>niezrealizowane</t>
  </si>
  <si>
    <t>Zysk ( strata ) z działalności gospodarczej (XIII+XIV-XV)</t>
  </si>
  <si>
    <t>Zysk ( strata ) brutto (XVI+XVII-XVIII)</t>
  </si>
  <si>
    <t>Pozostałe obowiązkowe zmniejszenia zysku ( zwiększenia strat )</t>
  </si>
  <si>
    <t>Zysk ( Strata ) netto (XIX-XX-XXI)</t>
  </si>
  <si>
    <t>BILANS sporządzony na dzień 30.06.2001</t>
  </si>
  <si>
    <t>A K T Y W A</t>
  </si>
  <si>
    <t>30.06.2001 r.</t>
  </si>
  <si>
    <t>P A S Y W A</t>
  </si>
  <si>
    <t>A. Kapitał (fundusz) własny</t>
  </si>
  <si>
    <t>I. Wart. niemater. i prawne</t>
  </si>
  <si>
    <t>Koszty organiz. przeds.</t>
  </si>
  <si>
    <t>II. Nie wniesione wkłady</t>
  </si>
  <si>
    <t>Koszty prac rozwojow.</t>
  </si>
  <si>
    <t>Wartość fimy</t>
  </si>
  <si>
    <t>Ze sprz. akcji i pow. wa</t>
  </si>
  <si>
    <t>Inne war. niemat. i prawne</t>
  </si>
  <si>
    <t>Zaliczki na poczet w. niemat.</t>
  </si>
  <si>
    <t>Wg. statutu, umowy</t>
  </si>
  <si>
    <t>II. Rzeczowy majątek trw.</t>
  </si>
  <si>
    <t>IV. Kap. rez. z akt. wyceny</t>
  </si>
  <si>
    <t>Urz. techn. i maszyny</t>
  </si>
  <si>
    <t>V. Pozost. kapitały rez.</t>
  </si>
  <si>
    <t>VI. Nie podz. wynik r. ub</t>
  </si>
  <si>
    <t>Pozostałe śr. trwałe</t>
  </si>
  <si>
    <t>Zysk r. ub. (+)</t>
  </si>
  <si>
    <t>Strata r. ub. (-)</t>
  </si>
  <si>
    <t>Zaliczki na inwestycje</t>
  </si>
  <si>
    <t>VII. Wynik netto b.r.</t>
  </si>
  <si>
    <t>Zysk netto (+)</t>
  </si>
  <si>
    <t>Strata netto (-)</t>
  </si>
  <si>
    <t>Papiery wartościowe</t>
  </si>
  <si>
    <t>Odpisy z wyn. fin. b.r.</t>
  </si>
  <si>
    <t>Udzielone pożyczki dłu</t>
  </si>
  <si>
    <t>Inne skł. fin. maj. trwałego</t>
  </si>
  <si>
    <t>Rezerwy na PDOP, PDOF</t>
  </si>
  <si>
    <t>C. Zobowiązania długot.</t>
  </si>
  <si>
    <t>Pożyczki, oblig. I in.</t>
  </si>
  <si>
    <t>Długoterm. kredyty b.</t>
  </si>
  <si>
    <t>Półprod. i prod. w toku</t>
  </si>
  <si>
    <t>Pozost. zobow. długoterm.</t>
  </si>
  <si>
    <t>D. Zob. krótkoterm., fund.</t>
  </si>
  <si>
    <t>I. Zobow. krótkoterm.</t>
  </si>
  <si>
    <t>Zaliczki na pocz. dost.</t>
  </si>
  <si>
    <t>Pożyczki, papiery war</t>
  </si>
  <si>
    <t>II. Należności i roszczenia</t>
  </si>
  <si>
    <t>Należności z tytułu dostaw</t>
  </si>
  <si>
    <t>Zaliczki otrzymane</t>
  </si>
  <si>
    <t>Z tyt. Podatk, dotac., ZUS</t>
  </si>
  <si>
    <t>Zobow. z tyt. dostaw</t>
  </si>
  <si>
    <t>Należn. wewnątrzzakład.</t>
  </si>
  <si>
    <t>Zobowiązania weksl.</t>
  </si>
  <si>
    <t>Zob. z podat, ceł, ZUS</t>
  </si>
  <si>
    <t>Należn. dochodzone sąd.</t>
  </si>
  <si>
    <t>Zobow. z tyt. wynagr.</t>
  </si>
  <si>
    <t>III. Papiery wart. do obr.</t>
  </si>
  <si>
    <t>Zobow. wewnątrzzakł.</t>
  </si>
  <si>
    <t>Udziały i akcje do zb.</t>
  </si>
  <si>
    <t>Pozost. zob. krótkoterm.</t>
  </si>
  <si>
    <t>Inne pap. wartościowe</t>
  </si>
  <si>
    <t>E. Rozlicz. międzyokr.</t>
  </si>
  <si>
    <t>Środki pien. w kasie</t>
  </si>
  <si>
    <t>Bierne rozl. Kosztów</t>
  </si>
  <si>
    <t>Środki pien. w banku</t>
  </si>
  <si>
    <t>Przych. przysz. okr.</t>
  </si>
  <si>
    <t>C. Rozliczenia międzyokr.</t>
  </si>
  <si>
    <t>Czynne rozl. kosztów</t>
  </si>
  <si>
    <t>Inne rozl. międzyokr.</t>
  </si>
  <si>
    <t>Rachunek zysków i strat sporządzony na dzien 30.06.2001 r.</t>
  </si>
  <si>
    <t>A. Przychody ze sprzed. i zrównane z nimi</t>
  </si>
  <si>
    <t>I. Przychody ze sprzed. produktów</t>
  </si>
  <si>
    <t>II. Zużycie mat. i energii</t>
  </si>
  <si>
    <t>III. Przych. ze sprz. towarów i mater.</t>
  </si>
  <si>
    <t>IV. Koszt wytw. świadcz. na potrz. własne</t>
  </si>
  <si>
    <t>B. Strata ze sprzedaży</t>
  </si>
  <si>
    <t>VI. Św. na rzecz prac.</t>
  </si>
  <si>
    <t>C. Pozost. przych. operac.</t>
  </si>
  <si>
    <t>I. Sprzedaż składn. majątku trwałego</t>
  </si>
  <si>
    <t>VIII. Pozostałe</t>
  </si>
  <si>
    <t>II. Dotacje</t>
  </si>
  <si>
    <t>B. Zysk ze sprzedaży</t>
  </si>
  <si>
    <t>III. Pozost. przych. oper.</t>
  </si>
  <si>
    <t>C. Pozostałe koszty oper.</t>
  </si>
  <si>
    <t>D. Strata na dział. oper.</t>
  </si>
  <si>
    <t>I. Wart. sprzedanych skład. majątku trw.</t>
  </si>
  <si>
    <t>II. Pozost. koszty oper.</t>
  </si>
  <si>
    <t xml:space="preserve">I. Dywiden. z tyt. udz. </t>
  </si>
  <si>
    <t xml:space="preserve"> - w tym od jedn. zależnych i stow.</t>
  </si>
  <si>
    <t>D. Zysk na działaln. oper.</t>
  </si>
  <si>
    <t>I. Odp. akt. fin. maj. trw.</t>
  </si>
  <si>
    <t>F. Strata brutto na działalności gosp.</t>
  </si>
  <si>
    <t>II. Odsetki do zapł.</t>
  </si>
  <si>
    <t xml:space="preserve"> - w tym dla jedn. zależnych i stow.</t>
  </si>
  <si>
    <t>F. Zysk brutto na działalności gosp.</t>
  </si>
  <si>
    <t>I. Obow. obciążenia wyniku fin.</t>
  </si>
  <si>
    <t>I. Podatek dochodowy</t>
  </si>
  <si>
    <t>II. Pozost. obow. obciąż.</t>
  </si>
  <si>
    <t>J. Zysk netto</t>
  </si>
  <si>
    <t>I. Strata netto</t>
  </si>
  <si>
    <t>Stan na 30.06.2001 r.</t>
  </si>
  <si>
    <t>A.Kapitał (fundusz) własny</t>
  </si>
  <si>
    <t>I.Wartości niematerialne i prawne</t>
  </si>
  <si>
    <t>I.Kapitał (fundusz) podstawowy</t>
  </si>
  <si>
    <t>1,Koszty organizacji poniesione przy założeniu lub późniejszym rozszerzeniu spółki</t>
  </si>
  <si>
    <t>II.Należne, lecz nie wniesione wkłady na poczet kapitału podstawowego (wielkość ujemna)</t>
  </si>
  <si>
    <t>2.Koszty prac rozwojowych</t>
  </si>
  <si>
    <t>III.Kapitał (fundusz) zapasowy</t>
  </si>
  <si>
    <t>3,Wartość firmy</t>
  </si>
  <si>
    <t>1.Ze sprzedaży akcji powyżej ich wartości nominalnej</t>
  </si>
  <si>
    <t>4.Inne wartości niematerialne i prawne</t>
  </si>
  <si>
    <t>2.Tworzony ustawowo</t>
  </si>
  <si>
    <t>5.Zaliczki na poczet wartości niematerialnych i prawnych</t>
  </si>
  <si>
    <t>3.Tworzony zgodnie ze statutem lub umową</t>
  </si>
  <si>
    <t>II.Rzeczowy majątek trwały</t>
  </si>
  <si>
    <t>4.Z dopłat dłużników</t>
  </si>
  <si>
    <t>1.Grunty własne</t>
  </si>
  <si>
    <t>5.Inny</t>
  </si>
  <si>
    <t>2.Budynki i budowle</t>
  </si>
  <si>
    <t>IV.Kapitał (fundusz) rezerwowy z aktualizacji wyceny</t>
  </si>
  <si>
    <t>3.Urządzenia techniczne i maszyny</t>
  </si>
  <si>
    <t>V.Pozostałe kapitały (fundusze) rezerwowe</t>
  </si>
  <si>
    <t>4.Środki transportu</t>
  </si>
  <si>
    <t>VI.Nie podzielony wynik finansowy z lat ubiegłych</t>
  </si>
  <si>
    <t>5.Pozostałe środki trwałe</t>
  </si>
  <si>
    <t>1.Zysk (wielkość dodatnia)</t>
  </si>
  <si>
    <t>6.Inwestycje rozpoczęte</t>
  </si>
  <si>
    <t>2.Strata (wielkość ujemna)</t>
  </si>
  <si>
    <t>7.Zaliczki na poczet inwestycji</t>
  </si>
  <si>
    <t>III.Finansowy majątek trwały</t>
  </si>
  <si>
    <t>VII.Wynik finansowy netto roku obrotowego</t>
  </si>
  <si>
    <t>1.Udziały i akcje</t>
  </si>
  <si>
    <t>1.Zysk netto (wielkość dodatnia)</t>
  </si>
  <si>
    <t>2.Papiery wartościowe</t>
  </si>
  <si>
    <t>2.Strata netto (wielkość ujemna)</t>
  </si>
  <si>
    <t>3.Udzielone pożyczki długoterminowe</t>
  </si>
  <si>
    <t>3.Odpisy z wyniku finansowego bieżącego roku obrotowego</t>
  </si>
  <si>
    <t>4.Inne składniki finans. majątku trw.</t>
  </si>
  <si>
    <t>IV.Należności długoterminowe</t>
  </si>
  <si>
    <t>I.Zapasy</t>
  </si>
  <si>
    <t>1.Rezerwy na podatek dochodowy od osób prawnych lub fizycznych</t>
  </si>
  <si>
    <t>1.Materiały</t>
  </si>
  <si>
    <t>2.Pozostałe rezerwy</t>
  </si>
  <si>
    <t>2.Półprodukty i produkty w toku</t>
  </si>
  <si>
    <t>3.Produkty gotowe</t>
  </si>
  <si>
    <t>1.Długoterminowe pożyczki, obligacje i inne papiery wartościowe</t>
  </si>
  <si>
    <t>4.Towary</t>
  </si>
  <si>
    <t>2.Długoterminowe kredyty bankowe</t>
  </si>
  <si>
    <t>5.Zaliczki na poczet dostaw</t>
  </si>
  <si>
    <t>3.Pozostałe zobowiązania długoterminowe</t>
  </si>
  <si>
    <t>II.Należności i roszczenia</t>
  </si>
  <si>
    <t>1.Należności z tytułu dostaw i usług</t>
  </si>
  <si>
    <t>I.Zobowiązania krótkoterminowe</t>
  </si>
  <si>
    <t>2.Należności z tytułu podatków,dotacji i ubezpieczeń społecznych</t>
  </si>
  <si>
    <t>1.Pożyczki, obligacje i papiery wartościowe</t>
  </si>
  <si>
    <t>3.Należności wewnątrzzakładowe</t>
  </si>
  <si>
    <t>2.Kredyty bankowe</t>
  </si>
  <si>
    <t>4.Pozostałe należności</t>
  </si>
  <si>
    <t>3.Zaliczki otrzymane na poczet dostaw</t>
  </si>
  <si>
    <t>5.Należności dochodzone na drodze sadowej</t>
  </si>
  <si>
    <t>4.Zobowiązania z tytułu dostaw i usług</t>
  </si>
  <si>
    <t>III.Papiery wartościowe przeznaczone do obrotu</t>
  </si>
  <si>
    <t>5.Zobowiązania wekslowe</t>
  </si>
  <si>
    <t>1.udziały lub akcje do zbycia</t>
  </si>
  <si>
    <t>6.Zobowiązania z tytułu podatków,ceł,ubezpieczeń społecznych</t>
  </si>
  <si>
    <t>2.Inne papiery wartosciowe</t>
  </si>
  <si>
    <t>7.Zobowiązania z tytułu wynagrodzeń</t>
  </si>
  <si>
    <t>8.Zobowiazania wewnątrzzakładowe</t>
  </si>
  <si>
    <t>9.Pozostałe zobowiązania krótkoterminowe</t>
  </si>
  <si>
    <t>IV.Środki pieniężne</t>
  </si>
  <si>
    <t>II.Fundusze specjalne</t>
  </si>
  <si>
    <t>1.Środki pieniężne w kasie</t>
  </si>
  <si>
    <t>2.Środki pieniężne w banku</t>
  </si>
  <si>
    <t>3.Inne środki pieniężne (weksle,czeki obce itp.)</t>
  </si>
  <si>
    <t>E.Rozliczenia międzyokresowe i przychody przyszłych okresów</t>
  </si>
  <si>
    <t>1.Czynne rozliczenia międzyokresowe kosztów</t>
  </si>
  <si>
    <t>1.Bierne rozliczenia międzyokresowe kosztów</t>
  </si>
  <si>
    <t>2.Inne rozliczenia międzyokresowe</t>
  </si>
  <si>
    <t>2.Przychody przyszłych okresów</t>
  </si>
  <si>
    <t>Górnośląskie Centrum Gospodarcze</t>
  </si>
  <si>
    <t xml:space="preserve">RACHUNEK ZYSKÓW I STRAT GCG S.A. </t>
  </si>
  <si>
    <t>KOSZTY I STRATY</t>
  </si>
  <si>
    <t>01-06/2001r.</t>
  </si>
  <si>
    <t>Koszty działalności operacyj.</t>
  </si>
  <si>
    <t xml:space="preserve">Przychody ze sprzedaży </t>
  </si>
  <si>
    <t xml:space="preserve">Wartość sprzedanych towarów </t>
  </si>
  <si>
    <t>Przychód ze sprzedaży prod.</t>
  </si>
  <si>
    <t>i materiałów</t>
  </si>
  <si>
    <t>Przychód ze sprzedaży tow.m</t>
  </si>
  <si>
    <t xml:space="preserve">Podatki i opłaty </t>
  </si>
  <si>
    <t>Koszt wytworzenia świadcz.</t>
  </si>
  <si>
    <t>na własne potrzeby jednostki</t>
  </si>
  <si>
    <t>Świadczenia na rzecz prac.</t>
  </si>
  <si>
    <t>ZYSK ZE SPRZEDAŻY</t>
  </si>
  <si>
    <t>Strata na sprzedaży</t>
  </si>
  <si>
    <t>Pozostałe przychody operacyj.</t>
  </si>
  <si>
    <t>Wartość sprzedanych składn.</t>
  </si>
  <si>
    <t>przych.ze sprzedaży składn.</t>
  </si>
  <si>
    <t>majątku trwałego</t>
  </si>
  <si>
    <t>Pozostałe przych.operacyjne</t>
  </si>
  <si>
    <t>Strata na dział.operacyjnej</t>
  </si>
  <si>
    <t>Odpisy aktualiz.wartość finans.</t>
  </si>
  <si>
    <t>Dywidendy z tyt.udziałów</t>
  </si>
  <si>
    <t>maj.trw.i krótkotermin.p.w.</t>
  </si>
  <si>
    <t>w tym od jedn.zależ. i stowarz.</t>
  </si>
  <si>
    <t>Odsetki do zapłacenia w tym</t>
  </si>
  <si>
    <t>dla jednostek zależ.i stowarzysz.</t>
  </si>
  <si>
    <t>Zysk brutto na działalności gos.</t>
  </si>
  <si>
    <t>Strata brutto na dział.gospod.</t>
  </si>
  <si>
    <t>Zysk brutto</t>
  </si>
  <si>
    <t>Srata brutto</t>
  </si>
  <si>
    <t>Obowiązkowe obciążenie w.fin</t>
  </si>
  <si>
    <t xml:space="preserve">Podatek dochodowy </t>
  </si>
  <si>
    <t>Pozostałe obowiązkowe obciąż.</t>
  </si>
  <si>
    <t>ZYSK NETTO</t>
  </si>
  <si>
    <t>STRATA NETTO</t>
  </si>
  <si>
    <t xml:space="preserve">PBK ATUT TOWARZYSTWO FUNDUSZY INWESTYCYJNYCH S.A. </t>
  </si>
  <si>
    <t>( w złotych)</t>
  </si>
  <si>
    <t>wartości niematerialne i prawne</t>
  </si>
  <si>
    <t>RAZEM MAJATEK TRWAŁY</t>
  </si>
  <si>
    <t>RAZEM MAJĄTEK OBROTOWY</t>
  </si>
  <si>
    <t>Rozliczenia międzyokresowe czynne</t>
  </si>
  <si>
    <t>Niepodzielony wynik finansowy lat ubiegłych</t>
  </si>
  <si>
    <t>Zysk netto roku obrotowego</t>
  </si>
  <si>
    <t>RAZEM KAPITAŁ WŁASNY</t>
  </si>
  <si>
    <t>Zobowiązania</t>
  </si>
  <si>
    <t xml:space="preserve">Rozliczenia międzyokresowe bierne </t>
  </si>
  <si>
    <t>i przychody przyszłych okresów</t>
  </si>
  <si>
    <t>Informacja dodatkowa-rach.wyników</t>
  </si>
  <si>
    <t>Za okres</t>
  </si>
  <si>
    <t>od 01.01.2001</t>
  </si>
  <si>
    <t>do 30.06.2001</t>
  </si>
  <si>
    <t>Przychody z działalności operacyjnej</t>
  </si>
  <si>
    <t>Koszty działalności operacyjnej w tym:</t>
  </si>
  <si>
    <t>Inne</t>
  </si>
  <si>
    <t xml:space="preserve"> Strata na działalności operacyjnej</t>
  </si>
  <si>
    <t>Strata na działalności gospodarczej</t>
  </si>
  <si>
    <t>-</t>
  </si>
  <si>
    <t xml:space="preserve">Zysk netto </t>
  </si>
  <si>
    <t xml:space="preserve">      9. Zmiana stanu należności od sektora finansowego</t>
  </si>
  <si>
    <t xml:space="preserve">      10. Zmiana stanu należności od sektora niefinansowego i sektora budżetowego</t>
  </si>
  <si>
    <t xml:space="preserve">      11 . Zmiana stanu należności z tytułu zakupionych papierów wartościowych z otrzymanym przyrzeczeniem odkupu</t>
  </si>
  <si>
    <t xml:space="preserve">      12. Zmiana stanu akcji, udziałów i innych papierów wartościowych o zmiennej kwocie dochodu</t>
  </si>
  <si>
    <t xml:space="preserve">      13. Zmiana stanu zobowiązań wobec sektora finansowego</t>
  </si>
  <si>
    <t xml:space="preserve">      14. Zmiana stanu zobowiązań wobec sektora niefinansowego i sektora budżetowego</t>
  </si>
  <si>
    <t xml:space="preserve">      15. Zmiana stanu zobowiązań z tytułu sprzedanych papierów wartościowych z udzielonym przyrzeczeniem odkupu</t>
  </si>
  <si>
    <t xml:space="preserve">   1.Czynne rozliczenia międzyokresowe kosztów</t>
  </si>
  <si>
    <t xml:space="preserve">   2.Inne rozliczenia międzyokresowe</t>
  </si>
  <si>
    <t>SUMA AKTYWOW</t>
  </si>
  <si>
    <t xml:space="preserve"> </t>
  </si>
  <si>
    <t>A.Kapitał własny</t>
  </si>
  <si>
    <t xml:space="preserve">  I.Kapitał podstawowy</t>
  </si>
  <si>
    <t xml:space="preserve">  II.Należne lecz nie wniesione wkłady na poczet k. podst</t>
  </si>
  <si>
    <t xml:space="preserve">  III.Kapitał zapasowy</t>
  </si>
  <si>
    <t xml:space="preserve">   1.Ze sprzedaży akcji powyżej ich wartości nominalnej</t>
  </si>
  <si>
    <t xml:space="preserve">   2.Tworzony ustawowo</t>
  </si>
  <si>
    <t xml:space="preserve">   3.Tworzony zgodnie ze statutem lub umową</t>
  </si>
  <si>
    <t xml:space="preserve">   4.Z dopłat wspólników</t>
  </si>
  <si>
    <t xml:space="preserve">   5.Inny</t>
  </si>
  <si>
    <t xml:space="preserve">  IV.Kapitał rezerwowy z aktualizacji wyceny</t>
  </si>
  <si>
    <t xml:space="preserve">  V.Pozostałe kapitały rezerwowe</t>
  </si>
  <si>
    <t xml:space="preserve">  VI.Niepodzielony wynik finansowy z lat ubiegłych</t>
  </si>
  <si>
    <t xml:space="preserve">   1.Zysk ( wielkość dodatnia)</t>
  </si>
  <si>
    <t xml:space="preserve">   2.Strata ( wielkość ujemna)</t>
  </si>
  <si>
    <t xml:space="preserve">  VII Wynik finansowy netto roku obrotowego</t>
  </si>
  <si>
    <t xml:space="preserve">   1.Zysk netto (wielkość dodatnia)</t>
  </si>
  <si>
    <t xml:space="preserve">   2.Strata netto ( wielkość ujemna)</t>
  </si>
  <si>
    <t xml:space="preserve">   3.Odpisy z wyniku finansowego bieżącego roku obrotowego</t>
  </si>
  <si>
    <t>B.Rezerwy</t>
  </si>
  <si>
    <t xml:space="preserve">   1.Rezerwy na podatek dochod.od os.prawnych</t>
  </si>
  <si>
    <t xml:space="preserve">   2.Pozostałe rezerwy</t>
  </si>
  <si>
    <t>C.Zobowiązania długoterminowe</t>
  </si>
  <si>
    <t xml:space="preserve">   1.Długoterminowe pożyczki, obligacje i inne papiery wart.</t>
  </si>
  <si>
    <t xml:space="preserve">   2.Długoterminowe kredyty bankowe</t>
  </si>
  <si>
    <t xml:space="preserve">   3.Pozostałe zobowiązania długoterminowe</t>
  </si>
  <si>
    <t>D.Zobowiązania krótkoterminowe i fundusze specjalne</t>
  </si>
  <si>
    <t xml:space="preserve">  I.Zobowiązania krótkoterminowe</t>
  </si>
  <si>
    <t xml:space="preserve">  1.Pożyczki, obligacje i papiery wartościowe</t>
  </si>
  <si>
    <t xml:space="preserve">  2.Kredyty bankowe</t>
  </si>
  <si>
    <t xml:space="preserve">  3.Zaliczki otrzymane na poczet dostaw</t>
  </si>
  <si>
    <t xml:space="preserve">  4.Zobowiązania z tytułu dostaw i usług</t>
  </si>
  <si>
    <t xml:space="preserve">  5.Zobowiązania wekslowe</t>
  </si>
  <si>
    <t xml:space="preserve">  6.Zobowiązania z tytułu podatków, ceł ubezp. społ.</t>
  </si>
  <si>
    <t xml:space="preserve">  7.Zobowiązania z tytułu wynagrodzeń</t>
  </si>
  <si>
    <t xml:space="preserve">  8.Zobowiązania wewnątrzzakładowe</t>
  </si>
  <si>
    <t xml:space="preserve">  9. Pozostałe zobowiązania krótkookresowe</t>
  </si>
  <si>
    <t xml:space="preserve">  II.Fundusze specjalne</t>
  </si>
  <si>
    <t>E.Rozl. międzyokresowe i przychody przyszłych okresów</t>
  </si>
  <si>
    <t xml:space="preserve">  1.Bierne rozliczenia międzyokresowe kosztów</t>
  </si>
  <si>
    <t xml:space="preserve">  2.Przychody przyszłych okresów</t>
  </si>
  <si>
    <t>SUMA PASYWOW</t>
  </si>
  <si>
    <t>PBK Property Sp. z o.o.</t>
  </si>
  <si>
    <t xml:space="preserve">RACHUNEK  ZYSKÓW I STRAT </t>
  </si>
  <si>
    <t>sporządzony za okres od 1.01.01 do 30.06.01</t>
  </si>
  <si>
    <t>A.Przychody ze sprzedaży i związane z nimi</t>
  </si>
  <si>
    <t xml:space="preserve">  I. Przychód ze sprzedaży produktów</t>
  </si>
  <si>
    <t xml:space="preserve"> II.Zmiana stanu produktów</t>
  </si>
  <si>
    <t xml:space="preserve"> III.Przychód ze sprzedaży towarów i materiałów</t>
  </si>
  <si>
    <t xml:space="preserve"> IV.Koszt wytworzenia świad.na własne potrzeby jed.</t>
  </si>
  <si>
    <t>B.    Koszty działalności operacyjnej</t>
  </si>
  <si>
    <t xml:space="preserve">  I.   Wartość sprzedanych towarów i materiałów</t>
  </si>
  <si>
    <t xml:space="preserve">  II.  Zużycie materiałów i energii</t>
  </si>
  <si>
    <t xml:space="preserve">  III. Usługi obce</t>
  </si>
  <si>
    <t xml:space="preserve">  IV. Podatki i opłaty</t>
  </si>
  <si>
    <t xml:space="preserve">  V. Wynagrodzenia</t>
  </si>
  <si>
    <t xml:space="preserve">  VI.Swiadczenia na rzecz pracowników</t>
  </si>
  <si>
    <t xml:space="preserve">  VII.Amortyzacja</t>
  </si>
  <si>
    <t xml:space="preserve">  VIII.Pozostałe</t>
  </si>
  <si>
    <t>C.Zysk/Strata ze sprzedaży</t>
  </si>
  <si>
    <t>D.Pozostałe przychody operacyjne</t>
  </si>
  <si>
    <t xml:space="preserve">  I.Przychody ze sprzed.składników majątku trw.</t>
  </si>
  <si>
    <t xml:space="preserve"> II.Dotacje</t>
  </si>
  <si>
    <t xml:space="preserve"> III.Pozostałe przychody operacyjne</t>
  </si>
  <si>
    <t>E.Pozostałe koszty operacyjne</t>
  </si>
  <si>
    <t xml:space="preserve"> I.Wartość sprzed.skł.majatku trwałego</t>
  </si>
  <si>
    <t xml:space="preserve"> II.Pozostałe koszty operacyjne</t>
  </si>
  <si>
    <t>F.Zysk/Strata na działalności operacyjnej</t>
  </si>
  <si>
    <t>G.Przychody finansowe</t>
  </si>
  <si>
    <t xml:space="preserve">  I. Dywidendy</t>
  </si>
  <si>
    <t xml:space="preserve">  II. Odsetki otrzymane</t>
  </si>
  <si>
    <t xml:space="preserve">  III. Pozostałe</t>
  </si>
  <si>
    <t>H.Koszty finansowe</t>
  </si>
  <si>
    <t xml:space="preserve">  I.Odpisy aktual.wart.finans.majątku trwałego</t>
  </si>
  <si>
    <t xml:space="preserve">  II. Odsetki do zapłacenia</t>
  </si>
  <si>
    <t xml:space="preserve">  III.Pozostałe</t>
  </si>
  <si>
    <t>I. Zysk/Strata brutto na działalności gospodarczej</t>
  </si>
  <si>
    <t>J.Zyski nadzwyczajne</t>
  </si>
  <si>
    <t>K. Straty nadzwyczajne</t>
  </si>
  <si>
    <t>L.Zysk/Strata brutto</t>
  </si>
  <si>
    <t>M.  Obowiązkowe obciążenia wyniku finansowego</t>
  </si>
  <si>
    <t xml:space="preserve"> I.Podatek dochodowy od os.prawnych </t>
  </si>
  <si>
    <t xml:space="preserve"> II.Pozostałe obciążenia wyniku finansowego</t>
  </si>
  <si>
    <t>N.Zysk/Strata netto</t>
  </si>
  <si>
    <t>Stan na /w złotych i groszach/</t>
  </si>
  <si>
    <t>bilans otwarcia</t>
  </si>
  <si>
    <t>bilans zamknięcia</t>
  </si>
  <si>
    <t>A. Wartości niematerialne i prawne</t>
  </si>
  <si>
    <t>Należności od jednostek powiązanych kapitałowo</t>
  </si>
  <si>
    <t>Zobowiązania wobec podmiotów prowadzących regulowane rynki papierów wartościowych</t>
  </si>
  <si>
    <t>Należności od biur maklerskich i innych domów maklerskich :</t>
  </si>
  <si>
    <t>Zobowiązania wobec Krajowego Depozytu Papierów Wartościowych</t>
  </si>
  <si>
    <t>Zobowiązania wobec izby gospodarczej</t>
  </si>
  <si>
    <t>Zobowiązania wobec emitentów papierów wartościowych lub wprowadzających</t>
  </si>
  <si>
    <t>Należności od podmiotów prowadzących regulowane rynki papierów wartościowych</t>
  </si>
  <si>
    <t>Zobowiązania wobec banku rozliczeniowego</t>
  </si>
  <si>
    <t>Należności od Krajowego Depozytu Papierów Wartościowych</t>
  </si>
  <si>
    <t>Kredyty i pożyczki:</t>
  </si>
  <si>
    <t>Należności od towarzystw funduszy powierniczych, inwestycyjnych i emerytalnych oraz funduszy inwestycyjnych i emerytalnych</t>
  </si>
  <si>
    <t>a) od jednostek powiązanych kapitałowo</t>
  </si>
  <si>
    <t>Należności od izby gospodarczej</t>
  </si>
  <si>
    <t>Należności od emitentów papierów wartościowych lub wprowadzających</t>
  </si>
  <si>
    <t>Dłużne papiery wartościowe</t>
  </si>
  <si>
    <t>Należności z tytułu podatków, dotacji i ubezpieczeń społecznych</t>
  </si>
  <si>
    <t>Zobowiązania z tytułu podatków, ceł i ubezpieczeń społecznych</t>
  </si>
  <si>
    <t>Należności dochodzone na drodze sądowej, nie objęte rezerwą</t>
  </si>
  <si>
    <t>Należności wynikające z zawartych ramowych umów pożyczki i sprzedaży krótkiej z tytułu pożyczonych papierów wartościowych</t>
  </si>
  <si>
    <t>Zobowiązania wobec towarzystw funduszy powierniczych, inwestycyjnych i emerytalnych oraz funduszy inwestycyjnych i emerytalnych</t>
  </si>
  <si>
    <t>Operacyjne papiery wartościowe i inne prawa majątkowe</t>
  </si>
  <si>
    <t>Zobowiązania wynikające z zawartych ramowych umów pożyczki i sprzedaży krótkiej z tytułu pożyczonych papierów wartościowych</t>
  </si>
  <si>
    <t>Handlowe papiery wartościowe i inne prawa majątkowe</t>
  </si>
  <si>
    <t>Fundusze specjalne</t>
  </si>
  <si>
    <t>Akcje</t>
  </si>
  <si>
    <t>Pozostałe zobowiązania krótkoterminowe</t>
  </si>
  <si>
    <t>Zobowiązania długoterminowe</t>
  </si>
  <si>
    <t>Certyfikaty inwestycyjne</t>
  </si>
  <si>
    <t>Kredyty bankowe:</t>
  </si>
  <si>
    <t>Warranty</t>
  </si>
  <si>
    <t>Pozostałe papiery wartościowe</t>
  </si>
  <si>
    <t>Inne prawa majatkowe</t>
  </si>
  <si>
    <t>Pożyczki :</t>
  </si>
  <si>
    <t>Lokacyjne papiery wartościowe, udziały i inne prawa majątkowe</t>
  </si>
  <si>
    <t>Akcje i udziały,  w tym :</t>
  </si>
  <si>
    <t>a) akcje i udziały jednostek zależnych</t>
  </si>
  <si>
    <t>b) akcje i udziały jednostek stowarzyszonych</t>
  </si>
  <si>
    <t>Zobowiązania z tytułu innych papierów wartościowych i praw majątkowych</t>
  </si>
  <si>
    <t>c) akcje i udziały jednostki dominującej</t>
  </si>
  <si>
    <t>Zobowiązania z tytułu  umów leasingu finansowego:</t>
  </si>
  <si>
    <t>Jednostki uczestnictwa funduszy powierniczych i inwestycyjnych</t>
  </si>
  <si>
    <t>Rozliczenia międzyokresowe i przychody przyszłych okresów</t>
  </si>
  <si>
    <t>Inne prawa majątkowe</t>
  </si>
  <si>
    <t>Pożyczki udzielone jednostce dominującej</t>
  </si>
  <si>
    <t>Pożyczki udzielone jednostkom stowarzyszonym</t>
  </si>
  <si>
    <t>Rezerwy na podatek dochodowy</t>
  </si>
  <si>
    <t>Wartości niematerialne  i prawne</t>
  </si>
  <si>
    <t>Koszty organizacji poniesione przy założeniu lub późniejszym rozszerzeniu spółki akcyjnej</t>
  </si>
  <si>
    <t>Zobowiązania podporządkowane</t>
  </si>
  <si>
    <t>Nabyta wartość firmy</t>
  </si>
  <si>
    <t>Kapitał własny</t>
  </si>
  <si>
    <t>Nabyte koncesje, patenty, licencje i podobne wartości, w tym:</t>
  </si>
  <si>
    <t>Kapitał akcyjny</t>
  </si>
  <si>
    <t xml:space="preserve">    - Oprogramowanie komputerowe</t>
  </si>
  <si>
    <t>Należne, lecz nie wniesione wkłady na kapitał akcyjny (wielkość ujemna)</t>
  </si>
  <si>
    <t>Kapitał zapasowy :</t>
  </si>
  <si>
    <t>Zaliczki na poczet wartości niematerialnych i prawnych</t>
  </si>
  <si>
    <t>a) ze sprzedaży akcji powyżej ich wartości nominalnej</t>
  </si>
  <si>
    <t>IX</t>
  </si>
  <si>
    <t>Rzeczowy majątek trwały</t>
  </si>
  <si>
    <t>b)  utworzony ustawowo</t>
  </si>
  <si>
    <t>Środki trwałe, w tym:</t>
  </si>
  <si>
    <t>c) utworzony zgodnie ze statutem</t>
  </si>
  <si>
    <t>a) grunty</t>
  </si>
  <si>
    <t>d) z dopłat akcjonariuszy</t>
  </si>
  <si>
    <t>b) budynki i lokale</t>
  </si>
  <si>
    <t>e) inny</t>
  </si>
  <si>
    <t>c) zespoły komputerowe</t>
  </si>
  <si>
    <t>Kapitał rezerwowy z aktualizacji wyceny</t>
  </si>
  <si>
    <t>d) pozostałe środki trwałe</t>
  </si>
  <si>
    <t>Pozostałe kapitały  rezerwowe</t>
  </si>
  <si>
    <t>Różnice kursowe z przeliczenia oddziałów zagranicznych</t>
  </si>
  <si>
    <t>Niepodzielony zysk lub niepokryta strata z lat ubiegłych:</t>
  </si>
  <si>
    <t>X</t>
  </si>
  <si>
    <t>Akcje  własne do zbycia</t>
  </si>
  <si>
    <t>a) niepodzielony zysk (wielkość dodatnia)</t>
  </si>
  <si>
    <t>XI</t>
  </si>
  <si>
    <t xml:space="preserve">Rozliczenia międzyokresowe </t>
  </si>
  <si>
    <t>b) niepokryta  strata (wielkość ujemna)</t>
  </si>
  <si>
    <t>Z tytułu odroczonego podatku dochodowego</t>
  </si>
  <si>
    <t>Zysk (strata) netto</t>
  </si>
  <si>
    <t>Pozostałe rozliczenia międzyokresowe</t>
  </si>
  <si>
    <t>Aktywa razem</t>
  </si>
  <si>
    <t>Pasywa razem</t>
  </si>
  <si>
    <t>Dane za okres 19.01.-31.12.2000 r.</t>
  </si>
  <si>
    <r>
      <t>Dane za okres 01.01 - 30.06.2001</t>
    </r>
    <r>
      <rPr>
        <b/>
        <sz val="11"/>
        <rFont val="Arial CE"/>
        <family val="2"/>
      </rPr>
      <t xml:space="preserve"> r.</t>
    </r>
  </si>
  <si>
    <t>Przychody z działalności maklerskiej</t>
  </si>
  <si>
    <t>Prowizje :</t>
  </si>
  <si>
    <t>a)</t>
  </si>
  <si>
    <t>od operacji papierami wartościowymi we własnym imieniu, lecz na rachunek dającego zlecenie</t>
  </si>
  <si>
    <t>b)</t>
  </si>
  <si>
    <t xml:space="preserve">z tytułu oferowania papierów wartościowych </t>
  </si>
  <si>
    <t>c)</t>
  </si>
  <si>
    <t>z tytułu przyjmowania zleceń kupna i umarzania jednostek uczestnictwa funduszy powierniczych i inwestycyjnych</t>
  </si>
  <si>
    <t>d)</t>
  </si>
  <si>
    <t>pozostałe</t>
  </si>
  <si>
    <t>Inne przychody :</t>
  </si>
  <si>
    <t>z tytułu prowadzenia rachunków papierów wartościowych i rachunków pieniężnych klientów</t>
  </si>
  <si>
    <t>z tytułu oferowania papierów wartościowych</t>
  </si>
  <si>
    <t>z tytułu prowadzenia rejestrów nabywców papierów wartościowych</t>
  </si>
  <si>
    <t>z tytułu zarządzania cudzym pakietem papierów wartościowych na zlecenie</t>
  </si>
  <si>
    <t>e)</t>
  </si>
  <si>
    <t>z tytułu zawodowego doradztwa w zakresie obrotu papierami wartościowymi</t>
  </si>
  <si>
    <t>f)</t>
  </si>
  <si>
    <t>z tytułu reprezentowania biur i domów maklerskich na regulowanych rynkach papierów wartościowych</t>
  </si>
  <si>
    <t>g)</t>
  </si>
  <si>
    <t>Koszty  działalności maklerskiej</t>
  </si>
  <si>
    <t>Koszty z tytułu afiliacji</t>
  </si>
  <si>
    <t>Opłaty na rzecz regulowanych rynków papierów wartościowych oraz na rzecz Krajowego Depozytu Papierów Wartościowych</t>
  </si>
  <si>
    <t>1. Przychody z udziałów i akcji</t>
  </si>
  <si>
    <t>a) przychody od jednostek zależnych i stowarzyszonych</t>
  </si>
  <si>
    <t>b) pozostałe przychody</t>
  </si>
  <si>
    <t>2. Przychody z pozostałych lokat</t>
  </si>
  <si>
    <t>a) przychody z nieruchomości</t>
  </si>
  <si>
    <t>b) przychody od jednostek zależnych i stowarzyszonych</t>
  </si>
  <si>
    <t>c) pozostałe przychody</t>
  </si>
  <si>
    <t>3. Wynik dodatni z rewaloryzacji lokat</t>
  </si>
  <si>
    <t>4. Wynik dodatni ze sprzedaży lokat</t>
  </si>
  <si>
    <t>III. Nie zrealizowane zyski z lokat</t>
  </si>
  <si>
    <t>IV. Pozostałe przychody techniczne na udziale własnym</t>
  </si>
  <si>
    <t>V. Odszkodowania i świadczenia (1+/-2)</t>
  </si>
  <si>
    <t>1. Odszkodowania i świadczenia wypłacone na udziale własnym</t>
  </si>
  <si>
    <t>1.1. odszkodowania i świadczenia wypłacone brutto</t>
  </si>
  <si>
    <t>1.2. udział reasekuratorów</t>
  </si>
  <si>
    <t>2. Zmiany stanu rezerw na nie wypłacone odszkodowania i świadczenia na udziale własnym</t>
  </si>
  <si>
    <t>2.1. rezerwy brutto</t>
  </si>
  <si>
    <t>2.2. udział reasekuratorów</t>
  </si>
  <si>
    <t>VI. Zmiana stanu innych rezerw techniczno - ubezpieczeniowych na udziale własnym (1+2)</t>
  </si>
  <si>
    <t>1. Rezerwy ubezpieczeń na życie</t>
  </si>
  <si>
    <t>1.1. rezerwy brutto</t>
  </si>
  <si>
    <t>2.1. udział reasekuratorów</t>
  </si>
  <si>
    <t>2. Pozostałe rezerwy techniczno - ubezpieczeniowe na udziale własnym</t>
  </si>
  <si>
    <t>VII. Premie i rabaty dla ubezpieczonych łącznie ze zmianą stanu rezerw na udziale własnym</t>
  </si>
  <si>
    <t>VIII. Koszty działalności ubezpieczeniowej</t>
  </si>
  <si>
    <t>1. Koszty akwizycji</t>
  </si>
  <si>
    <t>2. Koszty administracyjne</t>
  </si>
  <si>
    <t>3. Otrzymane prowizje reasekuracyjne i udziały w zyskach reasekuratorów</t>
  </si>
  <si>
    <t>IX. Koszty działalności lokacyjnej (1+2+3+4)</t>
  </si>
  <si>
    <t>1. Koszty utrzymania nieruchomości</t>
  </si>
  <si>
    <t>2. Pozostałe koszty działalności lokacyjnej</t>
  </si>
  <si>
    <t>3. Wynik ujemny z rewaloryzacji lokat</t>
  </si>
  <si>
    <t>4. Wynik ujemny z realizacji lokat</t>
  </si>
  <si>
    <t>X. Nie zrealizowane straty na lokatach</t>
  </si>
  <si>
    <t>XI. Pozostałe koszty techniczne na udziale własnym</t>
  </si>
  <si>
    <t>XII. Przeniesienie przychodów z lokat w części zarachowanej na przychody ogólnego rachunku zysków i strat</t>
  </si>
  <si>
    <t>XIII. Wynik techniczny (I+II+III+IV-V+/-VI+/-VII-VIII-IX-X-XI-XII)</t>
  </si>
  <si>
    <t>OGÓLNY RACHUNEK ZYSKÓW I STRAT UBEZPIECZYCIELA</t>
  </si>
  <si>
    <t>I. Wynik techniczny ubezpieczeń majątkowych i osobowych lub wynik techniczny ubezpieczeń na życie</t>
  </si>
  <si>
    <t>II. Przychody z lokat  (1+2+3+4)</t>
  </si>
  <si>
    <t xml:space="preserve">   1. Przychody z udziałów i akcji:</t>
  </si>
  <si>
    <t xml:space="preserve">      a) przychody od jednostek zależnych i stowarzyszonych</t>
  </si>
  <si>
    <t xml:space="preserve">      b) pozostałe przychody</t>
  </si>
  <si>
    <t xml:space="preserve">   2. Przychody z pozostałych lokat:</t>
  </si>
  <si>
    <t xml:space="preserve">      a) przychody z nieruchomości</t>
  </si>
  <si>
    <t xml:space="preserve">      b) przychody od jednostek zależnych i stowarzyszonych</t>
  </si>
  <si>
    <t xml:space="preserve">      c) pozostałe przychody</t>
  </si>
  <si>
    <t xml:space="preserve">   3. Wynik dodatni z rewaloryzacji lokat</t>
  </si>
  <si>
    <t xml:space="preserve">   4. Wynik dodatni ze sprzedaży lokat</t>
  </si>
  <si>
    <t>III. Przeniesienie przychodów z lokat w części nie zaliczonej na przychody technicznego rachunku ubezpieczeń</t>
  </si>
  <si>
    <t>IV. Koszty działalności lokacyjnej  (1+2+3+4)</t>
  </si>
  <si>
    <t xml:space="preserve">   1. Koszty utrzymania nieruchomości</t>
  </si>
  <si>
    <t xml:space="preserve">   2. Pozostałe koszty działalności lokacyjnej</t>
  </si>
  <si>
    <t xml:space="preserve">   3.Wynik ujemny z rewaloryzacji lokat</t>
  </si>
  <si>
    <t xml:space="preserve">   4. Wynik ujemny ze sprzedaży lokat</t>
  </si>
  <si>
    <t>V. Pozostałe przychody operacyjne</t>
  </si>
  <si>
    <t>VI. Pozostałe koszty operacyjne</t>
  </si>
  <si>
    <t>VII. Wynik na działalności operacyjnej  (+/-I+II+III-IV+V-VI)</t>
  </si>
  <si>
    <t>VIII. Zyski nadzwyczajne</t>
  </si>
  <si>
    <t>IX. Straty nadzwyczajne</t>
  </si>
  <si>
    <t>X. Wynik finansowy brutto  (VII+VIII-IX)</t>
  </si>
  <si>
    <t xml:space="preserve">   1. Zysk brutto</t>
  </si>
  <si>
    <t xml:space="preserve">   2. Strata brutto</t>
  </si>
  <si>
    <t>XI. Obowiązkowe obciążenia wyniku finansowego</t>
  </si>
  <si>
    <t xml:space="preserve">   1. Podatek dochodowy</t>
  </si>
  <si>
    <t xml:space="preserve">   2. Pozostałe obowiązkowe obciążenia</t>
  </si>
  <si>
    <t>XII. Wynik finansowy netto (X+/-XI)</t>
  </si>
  <si>
    <t xml:space="preserve">   1. Zysk netto</t>
  </si>
  <si>
    <t xml:space="preserve">   2. Strata netto</t>
  </si>
  <si>
    <t>PKB  "Ochrona"  S.A.</t>
  </si>
  <si>
    <t>BILANS</t>
  </si>
  <si>
    <t>Lp</t>
  </si>
  <si>
    <t>30.06.2001</t>
  </si>
  <si>
    <t>MAJĄTEK  TRWAŁY</t>
  </si>
  <si>
    <t>KAPITAŁ  (Fundusz) WŁASNY</t>
  </si>
  <si>
    <t>I</t>
  </si>
  <si>
    <t>Wartości niematerialne i prawne</t>
  </si>
  <si>
    <t>KAPITAŁ  (Fundusz podstawowy)</t>
  </si>
  <si>
    <t>Koszty organizacji spółki akcyjnej</t>
  </si>
  <si>
    <t>II</t>
  </si>
  <si>
    <t>Należne, lecz nie wniesione wkłady na poczet kapitału</t>
  </si>
  <si>
    <t>Koszty prac rozwojowych</t>
  </si>
  <si>
    <t>III</t>
  </si>
  <si>
    <t>KAPITAŁ (Fundusz)  zapasowy</t>
  </si>
  <si>
    <t>Wartość firmy</t>
  </si>
  <si>
    <t>Ze sprzedaży akcji powyżej ich wartości nominalnej</t>
  </si>
  <si>
    <t>Inne wartości niematerialne i prawne</t>
  </si>
  <si>
    <t>Tworzony ustawowo</t>
  </si>
  <si>
    <t>Zaliczki na wartości niematerialne i prawne</t>
  </si>
  <si>
    <t>Tworzony zgodnie ze statutem lub umową</t>
  </si>
  <si>
    <t>Rzeczowy majatek trwały</t>
  </si>
  <si>
    <t>Z dopłat wspólników</t>
  </si>
  <si>
    <t>Grunty własne</t>
  </si>
  <si>
    <t>Inny</t>
  </si>
  <si>
    <t>Budynki i budowle</t>
  </si>
  <si>
    <t>IV</t>
  </si>
  <si>
    <t>KAPITAŁ (Fundusz)  rezerwowy z aktualizacji wyceny</t>
  </si>
  <si>
    <t>Urządzenia techniczne i maszyny</t>
  </si>
  <si>
    <t>V</t>
  </si>
  <si>
    <t>Pozostałe kapitały (fundusz) rezerowe</t>
  </si>
  <si>
    <t>Srodki transportu</t>
  </si>
  <si>
    <t>VI</t>
  </si>
  <si>
    <t>Nie podzielony wynik finansowy z  lat  ubiegłych</t>
  </si>
  <si>
    <t>Pozostałe środki trwałe</t>
  </si>
  <si>
    <t>Strata (wielkość ujemna)</t>
  </si>
  <si>
    <t>Inwestycje rozpoczęte</t>
  </si>
  <si>
    <t>Zysk  (wielkość  dodatnia)</t>
  </si>
  <si>
    <t>Zaliczki na poczet inwestycji</t>
  </si>
  <si>
    <t>VII</t>
  </si>
  <si>
    <t>I. Wartości niematerialne i prawne</t>
  </si>
  <si>
    <t xml:space="preserve">   1. Koszty organizacji poniesione przy założeniu spółki</t>
  </si>
  <si>
    <t xml:space="preserve">   2. Koszty prac rozwojowych</t>
  </si>
  <si>
    <t xml:space="preserve">   3. Wartość firmy</t>
  </si>
  <si>
    <t xml:space="preserve">   4. Inne wartości niematerialne i prawne</t>
  </si>
  <si>
    <t xml:space="preserve">   5. Zaliczki na poczet wartości niematerialnych i prawnych</t>
  </si>
  <si>
    <t xml:space="preserve">   1. Grunty własne</t>
  </si>
  <si>
    <t xml:space="preserve">   2. Budynki i budowle</t>
  </si>
  <si>
    <t xml:space="preserve">   3. Urządzenia techniczne i maszyny</t>
  </si>
  <si>
    <t xml:space="preserve">   4. Środki transportu</t>
  </si>
  <si>
    <t xml:space="preserve">   5. Pozostałe środki trwałe</t>
  </si>
  <si>
    <t xml:space="preserve">   6. Magazyn inwestycyjny maszyn i urządzeń</t>
  </si>
  <si>
    <t xml:space="preserve">   7. Zaliczki na poczet inwestycji</t>
  </si>
  <si>
    <t xml:space="preserve">   1. Udziały i akcje</t>
  </si>
  <si>
    <t xml:space="preserve">   2. Papiery wartościowe</t>
  </si>
  <si>
    <t xml:space="preserve">   3. Udzielone pożyczki długoterminowe</t>
  </si>
  <si>
    <t xml:space="preserve">   4. Inne składniki finansowego majątku trwałego</t>
  </si>
  <si>
    <t xml:space="preserve">   1. Materiały</t>
  </si>
  <si>
    <t xml:space="preserve">   2. Półprodukty i produkty w toku</t>
  </si>
  <si>
    <t xml:space="preserve">   3. Produkty gotowe</t>
  </si>
  <si>
    <t xml:space="preserve">   4. Towary</t>
  </si>
  <si>
    <t xml:space="preserve">   5. Zaliczki na poczet dostaw</t>
  </si>
  <si>
    <t>II. Należności i rozczenia sporne</t>
  </si>
  <si>
    <t xml:space="preserve">   1. Należności z tytułu dostaw i usług (obniż. o rezerwy)</t>
  </si>
  <si>
    <t xml:space="preserve">   2. Należności z tytułu podatków, dotacji i ubezp. Społecznych</t>
  </si>
  <si>
    <t xml:space="preserve">   3. Należności wewnątrzzakładowe</t>
  </si>
  <si>
    <t xml:space="preserve">   4. Pozostałe należności</t>
  </si>
  <si>
    <t xml:space="preserve">   5. Należności dochodzone na drodze sądowej</t>
  </si>
  <si>
    <t>III. Papiery wartościowe przeznaczone do obrotu</t>
  </si>
  <si>
    <t xml:space="preserve">   1. Udziały lub akcje własne</t>
  </si>
  <si>
    <t xml:space="preserve">   2. Inne papiery wartościowe</t>
  </si>
  <si>
    <t xml:space="preserve">   1. Środki pieniężne w kasie</t>
  </si>
  <si>
    <t xml:space="preserve">   2. Środki pieniężne w banku</t>
  </si>
  <si>
    <t xml:space="preserve">   3. Inne środki pieniężne (weksle, czeki obce itp.)</t>
  </si>
  <si>
    <t xml:space="preserve">   1. Czynne rozliczenia międzyokresowe kosztów</t>
  </si>
  <si>
    <t xml:space="preserve">   2. Inne rozliczenia międzyokresowe</t>
  </si>
  <si>
    <t>GBG Serwis</t>
  </si>
  <si>
    <t>A. Kapitał własny</t>
  </si>
  <si>
    <t>II. Należne, lecz nie wniesione wkłady na poczet k. podstaw.</t>
  </si>
  <si>
    <t xml:space="preserve">   1. ze sprzedaży akcji powyżej ich wartości nominalnej</t>
  </si>
  <si>
    <t xml:space="preserve">   2. tworzony ustawowo</t>
  </si>
  <si>
    <t xml:space="preserve">   3. tworzony zgodnie ze statutem lub umową</t>
  </si>
  <si>
    <t xml:space="preserve">   4. z dopłat wspólników</t>
  </si>
  <si>
    <t xml:space="preserve">   5. inny (utworzony z zysku )</t>
  </si>
  <si>
    <t>V. Pozostałe kapitały rezerwowe</t>
  </si>
  <si>
    <t xml:space="preserve">   1. Zysk (wartość dodatnia)</t>
  </si>
  <si>
    <t xml:space="preserve">   2. Strata (wartość ujemna)</t>
  </si>
  <si>
    <t xml:space="preserve">   1. Zysk netto (wartość dodatnia)</t>
  </si>
  <si>
    <t xml:space="preserve">   2. Strata netto (wartość ujemna)</t>
  </si>
  <si>
    <t xml:space="preserve">   3. Odpisy z wyniku finansowego bieżącego roku obrotowego</t>
  </si>
  <si>
    <t xml:space="preserve">   1. Rezerwy na podatek dochodowy od osób prawnych</t>
  </si>
  <si>
    <t xml:space="preserve">   2. Pozostałe rezerwy (bez rezerwy na należności)</t>
  </si>
  <si>
    <t xml:space="preserve">   1. Długoterminowe pożyczki</t>
  </si>
  <si>
    <t xml:space="preserve">   2. Długoterminowe kredyty bankowe</t>
  </si>
  <si>
    <t xml:space="preserve">   3. Pozostałe zobowiązania długoterminowe</t>
  </si>
  <si>
    <t xml:space="preserve">   1. Pożyczki</t>
  </si>
  <si>
    <t xml:space="preserve">   2. Kredyty bankowe</t>
  </si>
  <si>
    <t xml:space="preserve">   3. Zaliczki otrzymane na poczet dostaw</t>
  </si>
  <si>
    <t xml:space="preserve">   4. Zobowiązania z tytułu dostaw i usług</t>
  </si>
  <si>
    <t xml:space="preserve">   5. Zobowiązania wekslowe</t>
  </si>
  <si>
    <t xml:space="preserve">   6. Zobowiązania z tytułu podatków, ceł, ubezpieczeń społ.</t>
  </si>
  <si>
    <t xml:space="preserve">   7. Zobowiązania z tytułu wynagrodzeń</t>
  </si>
  <si>
    <t xml:space="preserve">   8. Zobowiązania wewnątrzzakładowe</t>
  </si>
  <si>
    <t xml:space="preserve">   9. Pozostałe zobowiązania krótkoterminowe</t>
  </si>
  <si>
    <t>E. Rozli. międzyokresowe i przych. przyszłych okres.</t>
  </si>
  <si>
    <t xml:space="preserve">   1. Bierne rozliczenie międzyokresowe kosztów</t>
  </si>
  <si>
    <t xml:space="preserve">   2. Przychody przyszłych okresów</t>
  </si>
  <si>
    <t>A. Przychody ze sprzedaży i zrównane z nimi</t>
  </si>
  <si>
    <t>I.  Przychód ze sprzedaży produktów</t>
  </si>
  <si>
    <t>II. Zmiana stanu produktów</t>
  </si>
  <si>
    <t>III. Przychód ze sprzedaży  towarów i materiałów</t>
  </si>
  <si>
    <t>IV.Koszt wytworzenia świadczeń  na własne potrzeby jednostki</t>
  </si>
  <si>
    <t xml:space="preserve">B. Koszty działalnośći  operacyjnej </t>
  </si>
  <si>
    <t>I. Zobowiązania wobec banku centralnego</t>
  </si>
  <si>
    <t>II. Zobowiązania wobec sektora finansowego</t>
  </si>
  <si>
    <t xml:space="preserve">   1. Bieżące</t>
  </si>
  <si>
    <t>III. Zobowiązania wobec sektora niefinansowego i sektora budżetowego</t>
  </si>
  <si>
    <t xml:space="preserve">   1. Lokaty oszczędnościowe, w tym: </t>
  </si>
  <si>
    <t xml:space="preserve">      a) bieżące</t>
  </si>
  <si>
    <t xml:space="preserve">      b) terminowe</t>
  </si>
  <si>
    <t xml:space="preserve">   2. Pozostałe, w tym:</t>
  </si>
  <si>
    <t>IV. Zobowiązania z tytułu sprzedanych papierów wartościowych z udzielonym przyrzeczeniem odkupu</t>
  </si>
  <si>
    <t>V. Zobowiązania z tytułu emisji własnych papierów wartościowych</t>
  </si>
  <si>
    <t>VI. Fundusze specjalne i inne pasywa</t>
  </si>
  <si>
    <t>VII. Koszty i przychody rozliczane w czasie oraz zastrzeżone</t>
  </si>
  <si>
    <t>VIII. Rezerwy</t>
  </si>
  <si>
    <t xml:space="preserve">   1. Rezerwy na podatek dochodowy</t>
  </si>
  <si>
    <t xml:space="preserve">   2. Pozostałe rezerwy</t>
  </si>
  <si>
    <t>IX. Zobowiązania podporządkowane</t>
  </si>
  <si>
    <t>X. Kapitał akcyjny</t>
  </si>
  <si>
    <t xml:space="preserve">XI. Należne wpłaty na poczet kapitału akcyjnego (wielkość ujemna) </t>
  </si>
  <si>
    <t>XII. Kapitał zapasowy</t>
  </si>
  <si>
    <t xml:space="preserve">XIII. Kapitał rezerwowy z aktualizacji wyceny </t>
  </si>
  <si>
    <t>XIV. Pozostałe kapitały rezerwowe</t>
  </si>
  <si>
    <t>XV. Różnice kursowe z przeliczenia oddziałów zagranicznych</t>
  </si>
  <si>
    <t>XVI. Niepodzielony zysk lub niepokryta strata z lat ubiegłych</t>
  </si>
  <si>
    <t xml:space="preserve">XVII. Zysk (strata) netto </t>
  </si>
  <si>
    <t>PASYWA RAZEM</t>
  </si>
  <si>
    <t>POZYCJE POZABILANSOWE</t>
  </si>
  <si>
    <t>..................                                           półrocze                                          (rok bieżący)</t>
  </si>
  <si>
    <t>I. Pozabilansowe zobowiązania warunkowe</t>
  </si>
  <si>
    <t xml:space="preserve">   1. Zobowiązania udzielone:</t>
  </si>
  <si>
    <t xml:space="preserve">      a) dotyczące finansowania</t>
  </si>
  <si>
    <t xml:space="preserve">      b) gwarancyjne</t>
  </si>
  <si>
    <t xml:space="preserve">   2. Zobowiązania otrzymane:</t>
  </si>
  <si>
    <t>II. Zobowiązania związane z realizacją operacji kupna/sprzedaży</t>
  </si>
  <si>
    <t>III. Pozostałe, w tym:</t>
  </si>
  <si>
    <t xml:space="preserve">   -</t>
  </si>
  <si>
    <t>POZYCJE POZABILANSOWE RAZEM</t>
  </si>
  <si>
    <t>RACHUNEK ZYSKÓW I STRAT</t>
  </si>
  <si>
    <t xml:space="preserve">za okres </t>
  </si>
  <si>
    <t>30.06.2001                                           półrocze                                          (rok bieżący)</t>
  </si>
  <si>
    <t>I. Przychody z tytułu odsetek</t>
  </si>
  <si>
    <t>II. Koszty odsetek</t>
  </si>
  <si>
    <t xml:space="preserve">III. Wynik z tytułu odsetek (I-II) </t>
  </si>
  <si>
    <t>IV. Przychody z tytułu prowizji</t>
  </si>
  <si>
    <t>V. Koszty z tytułu prowizji</t>
  </si>
  <si>
    <t xml:space="preserve">VI. Wynik z tytułu prowizji (IV-V) </t>
  </si>
  <si>
    <t xml:space="preserve">VII. Przychody  z  akcji i udziałów, pozostałych papierów wartościowych i innych praw majątkowych </t>
  </si>
  <si>
    <t>VIII. Wynik na operacjach finansowych</t>
  </si>
  <si>
    <t>IX. Wynik z pozycji wymiany</t>
  </si>
  <si>
    <t>X. Wynik na działalności bankowej</t>
  </si>
  <si>
    <t>XI. Pozostałe przychody operacyjne</t>
  </si>
  <si>
    <t>XII. Pozostałe koszty operacyjne</t>
  </si>
  <si>
    <t>XIII. Koszty działania banku</t>
  </si>
  <si>
    <t>XIV. Amortyzacja  środków  trwałych  oraz  wartości  niematerialnych  i  prawnych</t>
  </si>
  <si>
    <t>XV. Odpisy na rezerwy i aktualizacja wartości</t>
  </si>
  <si>
    <t>XVI. Rozwiązanie rezerw i zmniejszenia dotyczące aktualizacji wartości</t>
  </si>
  <si>
    <t>XVII. Różnica wartości rezerw i aktualizacji (XV- XVI)</t>
  </si>
  <si>
    <t xml:space="preserve">XVIII. Wynik na działalności operacyjnej </t>
  </si>
  <si>
    <t>XIX. Wynik na operacjach nadzwyczajnych</t>
  </si>
  <si>
    <t xml:space="preserve">   1. Zyski nadzwyczajne</t>
  </si>
  <si>
    <t xml:space="preserve">   2. Straty nadzwyczajne</t>
  </si>
  <si>
    <t>XX. Zysk (strata) brutto</t>
  </si>
  <si>
    <t>XXI. Podatek dochodowy</t>
  </si>
  <si>
    <t>XXII. Pozostałe obowiązkowe zmniejszenie zysku (zwiększenie straty)</t>
  </si>
  <si>
    <t>XXIII. Zysk (strata) netto</t>
  </si>
  <si>
    <r>
      <t>RACHUNEK PRZEPŁYWU ŚRODKÓW PIENIĘŻNYCH</t>
    </r>
    <r>
      <rPr>
        <b/>
        <sz val="14"/>
        <color indexed="8"/>
        <rFont val="Times New Roman CE"/>
        <family val="1"/>
      </rPr>
      <t xml:space="preserve"> </t>
    </r>
  </si>
  <si>
    <t xml:space="preserve">A. PRZEPŁYWY PIENIĘŻNE NETTO Z DZIAŁALNOŚCI OPERACYJNEJ (I - II) - metoda bezpośrednia* </t>
  </si>
  <si>
    <t xml:space="preserve">   I. Wpływy z działalności operacyjnej</t>
  </si>
  <si>
    <t xml:space="preserve">      1. Wpływy z tytułu:</t>
  </si>
  <si>
    <t xml:space="preserve">         a) odsetek</t>
  </si>
  <si>
    <t xml:space="preserve">         b) prowizji</t>
  </si>
  <si>
    <t xml:space="preserve">      2. Wpływy z tytułu pozostałych przychodów operacyjnych</t>
  </si>
  <si>
    <t xml:space="preserve">      3. Wpływy z tytułu zdarzeń nadzwyczajnych</t>
  </si>
  <si>
    <t xml:space="preserve">      4. Pozostałe wpływy</t>
  </si>
  <si>
    <t xml:space="preserve">   II. Wydatki z tytułu działalności operacyjnej</t>
  </si>
  <si>
    <t xml:space="preserve">      1. Koszty:</t>
  </si>
  <si>
    <t xml:space="preserve">      2. Wynagrodzenia</t>
  </si>
  <si>
    <t xml:space="preserve">      3. Zapłata podatku dochodowego</t>
  </si>
  <si>
    <t xml:space="preserve">      4. Wydatki z tytułu pozostałych kosztów operacyjnych</t>
  </si>
  <si>
    <t xml:space="preserve">      5. Wydatki z tytułu zdarzeń nadzwyczajnych</t>
  </si>
  <si>
    <t xml:space="preserve">      6. Pozostałe wydatki</t>
  </si>
  <si>
    <t xml:space="preserve">A. PRZEPŁYWY PIENIĘŻNE NETTO Z DZIAŁALNOŚCI OPERACYJNEJ (I +/- II) - metoda pośrednia* </t>
  </si>
  <si>
    <t xml:space="preserve">   I. Zysk (strata) netto</t>
  </si>
  <si>
    <t xml:space="preserve">   II. Korekty razem:</t>
  </si>
  <si>
    <t xml:space="preserve">      1. Amortyzacja </t>
  </si>
  <si>
    <t xml:space="preserve">      2. Zyski/straty z tytułu różnic kursowych</t>
  </si>
  <si>
    <t xml:space="preserve">      3. Odsetki i dywidendy</t>
  </si>
  <si>
    <t xml:space="preserve">      4. (Zysk) strata z tytułu działalności inwestycyjnej</t>
  </si>
  <si>
    <t xml:space="preserve">      5. Zmiany stanu pozostałych rezerw</t>
  </si>
  <si>
    <t xml:space="preserve">      6. Podatek dochodowy (wykazany w rachunku zysków i strat)</t>
  </si>
  <si>
    <t xml:space="preserve">      7. Podatek dochodowy zapłacony</t>
  </si>
  <si>
    <t xml:space="preserve">      8. Zmiana stanu dłużnych papierów wartościowych</t>
  </si>
  <si>
    <t>GBG S.A.</t>
  </si>
  <si>
    <t>Dom Maklerski PBK S.A.</t>
  </si>
  <si>
    <t>PBK Doradztwo Finansowe Sp. z o.o.</t>
  </si>
  <si>
    <t>D. Starta na działalności operacyjnej</t>
  </si>
  <si>
    <t>B. Zysk na sprzedaży</t>
  </si>
  <si>
    <t>E. Przychody finansowe</t>
  </si>
  <si>
    <t>C. Pozostałe koszty operacyjne</t>
  </si>
  <si>
    <t>F. Strata brutto na działalności gospodarczej</t>
  </si>
  <si>
    <t>D. Zysk na działalności operacyjnej</t>
  </si>
  <si>
    <t>G. Zyski nadzwyczajne</t>
  </si>
  <si>
    <t>E. Koszty finansowe</t>
  </si>
  <si>
    <t>H. Strata brutto</t>
  </si>
  <si>
    <t>I. Odpisy aktualicujące wartość finansowego majątku trwałego</t>
  </si>
  <si>
    <t>I. Starta netto</t>
  </si>
  <si>
    <t>II. Odsetki zapłacone</t>
  </si>
  <si>
    <t>F. Zysk brutto na działalności gospodarczej</t>
  </si>
  <si>
    <t>G. Straty nadzwyczajne</t>
  </si>
  <si>
    <t>H. Zysk brutto</t>
  </si>
  <si>
    <t>I. Zysk netto</t>
  </si>
  <si>
    <t>na dzień 30-06-2001
(koniec miesiąca sprawozdawczego)</t>
  </si>
  <si>
    <t>Aktywa</t>
  </si>
  <si>
    <t>Majątek trwały</t>
  </si>
  <si>
    <t>Udziały lub akcje w spółkach rozliczających transakcje na rynku kapitałowym</t>
  </si>
  <si>
    <t>Udziały lub akcje agenta transferowego</t>
  </si>
  <si>
    <t>Papiery wartościowe wyemitowane przez Skarb Państwa lub Narodowy Bank Polski</t>
  </si>
  <si>
    <t>Inne składniki finansowego majątku trwałego</t>
  </si>
  <si>
    <t>Majątek obrotowy</t>
  </si>
  <si>
    <t>Należności od Otwartego Funduszu Emerytalnego z tytułu nadpłaty na rachunek rezerwowy</t>
  </si>
  <si>
    <t>Należności od Otwartego Funduszu Emerytalnego z tytułu opłat</t>
  </si>
  <si>
    <t>Pozostałe należności od Otwartego Funduszu Emerytalnego</t>
  </si>
  <si>
    <t>Należności z tytułu nadpłaty na Fundusz Gwarancyjny</t>
  </si>
  <si>
    <t>Należności dochodzone na drodze sądowej</t>
  </si>
  <si>
    <t>Pozostałe papiery wartościowe przeznaczone do obrotu</t>
  </si>
  <si>
    <t>Inne środki pieniężne (weksle, czeki obce itp.)</t>
  </si>
  <si>
    <t>Rozliczenia międzyokresowe</t>
  </si>
  <si>
    <t>Pozostałe kapitały rezerwowe</t>
  </si>
  <si>
    <t>Nie podzielony wynik finansowy z lat ubiegłych</t>
  </si>
  <si>
    <t>Zysk (wielkość dodatnia)</t>
  </si>
  <si>
    <t>Strata (wielkość ujemna)(PA1512)</t>
  </si>
  <si>
    <t>Zysk netto (wielkość dodatnia)</t>
  </si>
  <si>
    <t>Strata (wielkość ujemna)(PA1612)</t>
  </si>
  <si>
    <t>Odpisy z wyniku finansowego bieżącego roku obrotowego</t>
  </si>
  <si>
    <t>Rezerwy na podatek dochodowy od osób prawnych lub fizycznych</t>
  </si>
  <si>
    <t>Długoterminowe pożyczki</t>
  </si>
  <si>
    <t>Długoterminowe kredyty</t>
  </si>
  <si>
    <t>Długoterminowe obligacje</t>
  </si>
  <si>
    <t>Inne długoterminowe papiery wartościowe</t>
  </si>
  <si>
    <t>Zobowiązania krótkoterminowe 
i fundusze specjalne</t>
  </si>
  <si>
    <t>Zobowiązania względem Otwartego Funduszu Emerytalnego z tytułu rachunku rezerwowego</t>
  </si>
  <si>
    <t>Zobowiązania względem Otwartego Funduszu Emerytalnego z tytułu powstania niedoboru</t>
  </si>
  <si>
    <t xml:space="preserve">Pozostałe zobowiązania względem Otwartego Funduszu Emerytalnego </t>
  </si>
  <si>
    <t>Zobowiązania względem Funduszu Gwarancyjnego</t>
  </si>
  <si>
    <t>Pożyczki</t>
  </si>
  <si>
    <t>Kredyty</t>
  </si>
  <si>
    <t>Obligacje</t>
  </si>
  <si>
    <t>Zobowiązania z tytułu podatków, ceł, ubezpieczeń społecznych</t>
  </si>
  <si>
    <t>Rozliczenia międzyokresowe 
i przychody przyszłych okresów</t>
  </si>
  <si>
    <t>Opłata dystrybucyjna, o której mowa w art.134 ust. 1 ustawy o organizacji i funkcjonowaniu funduszy emerytalnych</t>
  </si>
  <si>
    <t>Opłata transferowa, o której mowa w art.134 ust. 2 ustawy o organizacji i funkcjonowaniu funduszy emerytalnych</t>
  </si>
  <si>
    <t>Opłata transferowa, o której mowa w art.134 ust. 3 ustawy o organizacji i funkcjonowaniu funduszy emerytalnych</t>
  </si>
  <si>
    <t>Opłata za zarządzanie</t>
  </si>
  <si>
    <t>Wycofanie nadwyżki z Rachunku Rezerwowego</t>
  </si>
  <si>
    <t>Zwrot nadpłaty do Funduszu Gwarancyjnego</t>
  </si>
  <si>
    <t>Pozostałe przychody</t>
  </si>
  <si>
    <t>Koszty działalności operacyjnej</t>
  </si>
  <si>
    <t>Koszty akwizycji</t>
  </si>
  <si>
    <t>Koszty agenta transferowego lub koszty prowadzonego przez towarzystwo rejestru członków funduszu</t>
  </si>
  <si>
    <t>Koszty reklamy</t>
  </si>
  <si>
    <t>Opłata na rzecz UNFE</t>
  </si>
  <si>
    <t>Wpłata na Rachunek Rezerwowy</t>
  </si>
  <si>
    <t>Wpłata na Fundusz Gwarancyjny</t>
  </si>
  <si>
    <t>Pokrycie niedoboru funduszu emerytalnego</t>
  </si>
  <si>
    <t>Koszty OFE poniesione przez towarzystwo związane z realizacją transakcji nabywania i zbywania aktywów OFE</t>
  </si>
  <si>
    <t>Koszty OFE poniesione przez towarzystwo związane z przechowywaniem aktywów OFE</t>
  </si>
  <si>
    <t>Inne koszty</t>
  </si>
  <si>
    <t>Zysk/Strata ze sprzedaży (A-B)</t>
  </si>
  <si>
    <t>Pozostałe przychody operacyjne(RD)</t>
  </si>
  <si>
    <t>Przychody ze sprzedaży składników majątku trwałego</t>
  </si>
  <si>
    <t>Pozostałe przychody operacyjne(RD12)</t>
  </si>
  <si>
    <t>Pozostałe koszty operacyjne(RE)</t>
  </si>
  <si>
    <t>Wartość sprzedanych składników majątku trwałego</t>
  </si>
  <si>
    <t>Pozostałe koszty operacyjne(RE12)</t>
  </si>
  <si>
    <t>Zysk/Strata na działalności operacyjnej (C+D-E)</t>
  </si>
  <si>
    <t>Dywidendy z tytułu udziałów - w tym od jednostek zależnych i stowarzyszonych</t>
  </si>
  <si>
    <t>Pozostałe(RG13)</t>
  </si>
  <si>
    <t>Odpisy aktualizujące wartość finansowego majątku trwałego oraz krótkoterminowych papierów wartościowych</t>
  </si>
  <si>
    <t>Odsetki do zapłacenia - w tym dla jednostek zależnych i stowarzyszonych</t>
  </si>
  <si>
    <t>Pozostałe(RH13)</t>
  </si>
  <si>
    <t>Zysk/Strata brutto na działalności gospodarczej (F+G-H)</t>
  </si>
  <si>
    <t>Zysk/Strata brutto (I+J-K)</t>
  </si>
  <si>
    <t>Obowiązkowe obciążenia wyniku finansowego</t>
  </si>
  <si>
    <t>Podatek dochodowy od osób prawnych lub osób fizycznych</t>
  </si>
  <si>
    <t>Pozostałe obowiązkowe obciążenia</t>
  </si>
  <si>
    <t>Zysk/Strata netto (L-M)</t>
  </si>
  <si>
    <t>Przepływy środków pieniężnych z działalności operacyjnej</t>
  </si>
  <si>
    <t>Wynik finansowy netto (zysk/strata)</t>
  </si>
  <si>
    <t>Korekty o pozycje:</t>
  </si>
  <si>
    <t>Zyski/Straty z tytułu różnic kursowych</t>
  </si>
  <si>
    <t>Odsetki i dywidendy otrzymane i zapłacone</t>
  </si>
  <si>
    <t>Rezerwy na należności</t>
  </si>
  <si>
    <t>Inne rezerwy</t>
  </si>
  <si>
    <t>Podatek dochodowy od zysku brutto</t>
  </si>
  <si>
    <t>Podatek dochodowy zapłacony</t>
  </si>
  <si>
    <t>Wynik na sprzedaży i likwidacji składników działalności inwestycyjnej</t>
  </si>
  <si>
    <t>Zmiana stanu zapasów</t>
  </si>
  <si>
    <t>Zmiana stanu należności i roszczeń</t>
  </si>
  <si>
    <t>Zmiana stanu zobowiązań krótkoterminowych (z wyjątkiem pożyczek i kredytów) oraz funduszów specjalnych</t>
  </si>
  <si>
    <t>Zmiana stanu rozliczeń międzyokresowych</t>
  </si>
  <si>
    <t>Zmiana stanu przychodów przyszłych okresów</t>
  </si>
  <si>
    <t>Pozostałe pozycje(CA1224)</t>
  </si>
  <si>
    <t>Środki pieniężne netto z działalności operacyjnej (I+/-II)</t>
  </si>
  <si>
    <t>Przepływy środków pieniężnych z działalności inwestycyjnej</t>
  </si>
  <si>
    <t>Nabycie/Sprzedaż wartości niematerialnych i prawnych</t>
  </si>
  <si>
    <t>Nabycie/Sprzedaż składników rzeczowego majątku trwałego</t>
  </si>
  <si>
    <t>Nabycie/Sprzedaż akcji i udziałów w jednostkach zależnych</t>
  </si>
  <si>
    <t>Nabycie/Sprzedaż akcji i udziałów w jednostkach stowarzyszonych</t>
  </si>
  <si>
    <t>Nabycie/Sprzedaż innych akcji, udziałów i papierów wartościowych (w tym również przeznaczonych do obrotu)</t>
  </si>
  <si>
    <t>Udzielone/Zwrócone pożyczki</t>
  </si>
  <si>
    <t>Otrzymane/Zwrócone dywidendy</t>
  </si>
  <si>
    <t>Otrzymane/Zwrócone odsetki</t>
  </si>
  <si>
    <t>Pozostałe pozycje(CB19)</t>
  </si>
  <si>
    <t>Środki pieniężne netto z działalności inwestycyjnej (I+/-II+/-III+/-IV+/-V+/-VI+/-VII+/-VIII)</t>
  </si>
  <si>
    <t>Przepływy środków pieniężnych z działalności finansowej</t>
  </si>
  <si>
    <t>Zaciągnięcie/Spłata długoterminowych kredytów bankowych</t>
  </si>
  <si>
    <t>Zaciągnięcie/Spłata długoterminowych pożyczek, emisja/wykup obligacji lub innych papierów wartościowych</t>
  </si>
  <si>
    <t>Zaciągnięcie/Spłata krótkoterminowych kredytów bankowych</t>
  </si>
  <si>
    <t>Zaciągnięcie/Spłata krótkoterminowych pożyczek, emisja/wykup obligacji lub innych papierów wartościowych</t>
  </si>
  <si>
    <t>Płatności dywidend i innych wypłat na rzecz właścicieli</t>
  </si>
  <si>
    <t>Płatności zobowiązań z tytułu umów leasingu finansowego</t>
  </si>
  <si>
    <t>Wpływy z emisji akcji i udziałów własnych oraz dopłat do kapitału</t>
  </si>
  <si>
    <t>Zapłacone/Zwrócone odsetki</t>
  </si>
  <si>
    <t>Pozostałe pozycje(CC19)</t>
  </si>
  <si>
    <t>Środki pieniężne netto z działalności finansowej (I+/-II+/-III+/-IV+/-V+/-VI+/-VII+/-VIII+/-IX)</t>
  </si>
  <si>
    <t>Zmiana stanu środków pieniężnych netto (A+/-B+/-C)</t>
  </si>
  <si>
    <t>Środki pieniężne na początek roku obrotowego</t>
  </si>
  <si>
    <t>Środki pieniężne na koniec roku obrotowego (D+E)</t>
  </si>
  <si>
    <t>PTE PBK S.A.</t>
  </si>
  <si>
    <t>RACHUNEK PRZEPŁYWÓW PIENIĘŻNYCH</t>
  </si>
  <si>
    <t>Asset Management S.A</t>
  </si>
  <si>
    <t>BILANS .</t>
  </si>
  <si>
    <t>30,06,2001</t>
  </si>
  <si>
    <t xml:space="preserve">AKTYWA </t>
  </si>
  <si>
    <t xml:space="preserve">Zobowiązania wobec biur maklerskich i innych domów maklerskich </t>
  </si>
  <si>
    <t>z tytułu zawartych transakcji</t>
  </si>
  <si>
    <t>Zobowiązania wobec podmiotów prowadzących regulowane rynki  papierów wartościowych</t>
  </si>
  <si>
    <t>Należności od biur maklerskich i innych domów maklerskich</t>
  </si>
  <si>
    <t>Zobowiązania wobec KDPW</t>
  </si>
  <si>
    <t>Należności od KDPW</t>
  </si>
  <si>
    <t>Kredyty i pożyczki</t>
  </si>
  <si>
    <t>Należności od towarzystw funduszy powierniczych,inwestycyjnych i emerytalnych oraz funduszy inwestycyjnych i emerytalnych</t>
  </si>
  <si>
    <t>od jednostek  powiązanych kapitałowo</t>
  </si>
  <si>
    <t>Należnosci od izby gospodarczej</t>
  </si>
  <si>
    <t>Należności wynikające z zawartych ramowych umów pożyczki i sprzedaży  krótkiej z tytułu pożyczonych papierów wartościowych</t>
  </si>
  <si>
    <t xml:space="preserve">Zobowiązania wobec towarzystw funduszy powierniczych,inwestycyjnych i emerytalnych oraz funduszy inwestycyjnych i emerytalnych </t>
  </si>
  <si>
    <t>od jednostek powiązanych kapitałowo</t>
  </si>
  <si>
    <t>Lokacyjne papiery wartościowe ,udziały i inne prawa majątkowe</t>
  </si>
  <si>
    <t>udziały i akcje jednostek zależnych</t>
  </si>
  <si>
    <t>udziały i akcje jednostek stowarzyszonych</t>
  </si>
  <si>
    <t>akcje i udziały jednostki dominującej</t>
  </si>
  <si>
    <t>Zobowiązania z tytułu umów leasingu finansowego</t>
  </si>
  <si>
    <t>Pozostałe zobowiązania dłudoterminowe</t>
  </si>
  <si>
    <t>Pożyczki  udzielone jednostce dominującej</t>
  </si>
  <si>
    <t>Pożyczki  udzielone jednostkom stowarzyszonym</t>
  </si>
  <si>
    <t>Koszty organizacji poniesione przy założeniu lub pózniejszym rozszerzeniu spółki akcyjnej</t>
  </si>
  <si>
    <t>Nabyte koncesje,patenty,licencje i podobne wartości w tym oprogramowanie komputerowe</t>
  </si>
  <si>
    <t>Należne, lecz nie wniesione wkłady na poczet kapitału akcyjnego (wielkośc ujemna)</t>
  </si>
  <si>
    <t>Kapitał  zapasowy</t>
  </si>
  <si>
    <t>Zaliczki na  wartości niematerialne i prawne</t>
  </si>
  <si>
    <t>ze sprzedaży akcji powyżej ich wartości nominalnej</t>
  </si>
  <si>
    <t xml:space="preserve">Rzeczowy majątek trwały </t>
  </si>
  <si>
    <t>utworzony ustawowo</t>
  </si>
  <si>
    <t xml:space="preserve">Środki trwałe, w tym: </t>
  </si>
  <si>
    <t xml:space="preserve">utworzony zgodnie ze statutem </t>
  </si>
  <si>
    <t>grunty</t>
  </si>
  <si>
    <t>z dopłat akcjonariuszy</t>
  </si>
  <si>
    <t>budynki i lokale</t>
  </si>
  <si>
    <t>inny</t>
  </si>
  <si>
    <t>zespoły komputerowe</t>
  </si>
  <si>
    <t>Kapitał  rezerwowy z aktualizacji wyceny</t>
  </si>
  <si>
    <t xml:space="preserve">pozostałe środki trwałe </t>
  </si>
  <si>
    <t>Zaliczki na  poczet inwestycji</t>
  </si>
  <si>
    <t>Nie podzielony zysk lub niepokryta strata z lat ubiegłych</t>
  </si>
  <si>
    <t>niepodzielony zysk (wielkość dodatnia)</t>
  </si>
  <si>
    <t>niepokryta strata (wielkość ujemna)</t>
  </si>
  <si>
    <t>Z tytułu odroczonego podaktu dochodowego</t>
  </si>
  <si>
    <t xml:space="preserve">Pozostałe rozliczenia międzyokresowe </t>
  </si>
  <si>
    <t>Rachunek zysków i strat</t>
  </si>
  <si>
    <t>AKTYWA</t>
  </si>
  <si>
    <t>Wyszczególnienie</t>
  </si>
  <si>
    <t>30.06.01</t>
  </si>
  <si>
    <t>A. Majątek trwały</t>
  </si>
  <si>
    <t>I.  Wartości niematerialne i prawne</t>
  </si>
  <si>
    <t>1. Koszty organizacji</t>
  </si>
  <si>
    <t>2. Koszty prac rozwojowych</t>
  </si>
  <si>
    <t>3. Wartość firmy</t>
  </si>
  <si>
    <t>4. Inne wartości niematerialne i prawne</t>
  </si>
  <si>
    <t xml:space="preserve">5. Zaliczki na poczet wartości niematerialnych i prawnych  </t>
  </si>
  <si>
    <t>II. Rzeczowy majątek trwały</t>
  </si>
  <si>
    <t>1. Grunty własne</t>
  </si>
  <si>
    <t>2. Budynki i budowle</t>
  </si>
  <si>
    <t>3. Urządzenia techniczne i maszyny</t>
  </si>
  <si>
    <t>4. Środki transportu</t>
  </si>
  <si>
    <t>5. Pozostałe środki trwałe</t>
  </si>
  <si>
    <t>6. Inwestycje rozpoczęte</t>
  </si>
  <si>
    <t>7. Zaliczki na poczet inwestycji</t>
  </si>
  <si>
    <t>III. Finansowy majątek trwały</t>
  </si>
  <si>
    <t>1. Udziały i akcje</t>
  </si>
  <si>
    <t>2. Papiery wartościowe</t>
  </si>
  <si>
    <t>3. Udzielone pożyczki długoterminowe</t>
  </si>
  <si>
    <t>4. Inne składniki</t>
  </si>
  <si>
    <t>IV. Należności długoterminowe</t>
  </si>
  <si>
    <t>B. Majątek obrotowy</t>
  </si>
  <si>
    <t>I. Zapasy</t>
  </si>
  <si>
    <t>1. Materiały</t>
  </si>
  <si>
    <t>2. Półprodukty i produkty w toku</t>
  </si>
  <si>
    <t>3. Produkty gotowe</t>
  </si>
  <si>
    <t>4. Towary</t>
  </si>
  <si>
    <t>5. Zaliczki na poczet dostaw</t>
  </si>
  <si>
    <t xml:space="preserve">II. Należności i roszczenia </t>
  </si>
  <si>
    <t>1. Należności z tytułu dostaw i usług</t>
  </si>
  <si>
    <t xml:space="preserve">2. Należności z tytułu podatków, dotacji i ubezpieczeń </t>
  </si>
  <si>
    <t>3. Należności wewnątrzzakładowe</t>
  </si>
  <si>
    <t>4. Pozostałe należności</t>
  </si>
  <si>
    <t>5. Należności dochodzone na drodze sądowej</t>
  </si>
  <si>
    <t xml:space="preserve">III. Papiery wartościowe przeznaczone do obrotu </t>
  </si>
  <si>
    <t>1. Udziały lub akcje własne do zbycia</t>
  </si>
  <si>
    <t>2. Inne papiery wartościowe</t>
  </si>
  <si>
    <t>IV. Środki pieniężne</t>
  </si>
  <si>
    <t>1. Środki pieniężne w kasie</t>
  </si>
  <si>
    <t>2. Środki pieniężne w banku</t>
  </si>
  <si>
    <t>3. Inne środki pieniężne (weksle, czeki obce itp)</t>
  </si>
  <si>
    <t>C. Rozliczenia międzyokresowe</t>
  </si>
  <si>
    <t>1. Czynne rozliczenia międzyokresowe kosztów</t>
  </si>
  <si>
    <t>2. Inne rozliczenia międzyokresowe</t>
  </si>
  <si>
    <t>Suma aktywów</t>
  </si>
  <si>
    <t>PASYWA</t>
  </si>
  <si>
    <t>A. Kapitał  (fundusz) własny</t>
  </si>
  <si>
    <t>I. Kapitał (fundusz) podstawowy</t>
  </si>
  <si>
    <t>II. Należne, lecz nie wniesione wkłady</t>
  </si>
  <si>
    <t>III. Kapitał (fundusz) zapasowy</t>
  </si>
  <si>
    <t>1. Ze sprzedaży akcji powyżej ich wartości naminalnej</t>
  </si>
  <si>
    <t>2. Tworzony ustawowo</t>
  </si>
  <si>
    <t>3. Tworzony zgodnie ze statutem lub umową</t>
  </si>
  <si>
    <t>4. Z dopłat wspólników</t>
  </si>
  <si>
    <t>5. Inny</t>
  </si>
  <si>
    <t>IV. Kapitał (fundusz) rezerwowy z aktualizacji wyceny</t>
  </si>
  <si>
    <t>V. Pozostałe kapitały (fundusze) rezerwowe</t>
  </si>
  <si>
    <t>VI. Nie podzielony wynik finansowy z lat ubiegłych</t>
  </si>
  <si>
    <t>1. Zysk (wielkość dodatnia)</t>
  </si>
  <si>
    <t>2. Strata (wielkość ujemna)</t>
  </si>
  <si>
    <t>VII. Wynik finansowy netto roku obrotowego</t>
  </si>
  <si>
    <t>2. Strata netto ( wielkość ujemna)</t>
  </si>
  <si>
    <t>3. Odpis z wyniku finansowego bieżącego roku obrotowego</t>
  </si>
  <si>
    <t>B. Rezerwy</t>
  </si>
  <si>
    <t xml:space="preserve">1. Rezerwy na podatek dochodowy od osób prawnych </t>
  </si>
  <si>
    <t>2. Pozostałe rezerwy</t>
  </si>
  <si>
    <t>C. Zobowiązania długoterminowe</t>
  </si>
  <si>
    <t xml:space="preserve">1. Długoterminowe pożyczki, obligacje i inne papiery </t>
  </si>
  <si>
    <t>2. Długoterminowe kredyty bankowe</t>
  </si>
  <si>
    <t>3. Pozostałe zobowiązania długoterminowe</t>
  </si>
  <si>
    <t>D. Zobowiązania krótkoterminowe i fundusze specjalne</t>
  </si>
  <si>
    <t>I. Zobowiązania krótkoterminowe</t>
  </si>
  <si>
    <t>1. Pożyczki, obligacje i papiery wartościowe,</t>
  </si>
  <si>
    <t>2. Kredyty bankowe</t>
  </si>
  <si>
    <t>3. Zaliczki otrzymane na poczet dostaw</t>
  </si>
  <si>
    <t>4. Zobowiązania z tytułu dostaw i usług</t>
  </si>
  <si>
    <t>5. Zobowiązania wekslowe</t>
  </si>
  <si>
    <t xml:space="preserve">6. Zobowiązania z tytułu podatków, ceł, ubezpieczeń </t>
  </si>
  <si>
    <t>7. Zobowiązania z tytułu wynagrodzeń</t>
  </si>
  <si>
    <t>8. Zobowiązania wewnątrzzakładowe</t>
  </si>
  <si>
    <t>9. Pozostałe zobowiązania krótkoterminowe</t>
  </si>
  <si>
    <t>II. Fundusze specjalne</t>
  </si>
  <si>
    <t>E. Rozliczenia międz. i przychody przyszłych okresów</t>
  </si>
  <si>
    <t>1. Bierne rozliczenia międzyokresowe kosztów</t>
  </si>
  <si>
    <t>2. Przychody przyszych okresow</t>
  </si>
  <si>
    <t>Suma pasywów</t>
  </si>
  <si>
    <t>PBK Inwestycje S.A.</t>
  </si>
  <si>
    <t>Rachunek wyników za 2001r.</t>
  </si>
  <si>
    <t>PRZYCHODY I ZYSKI</t>
  </si>
  <si>
    <t>01.01-30.06</t>
  </si>
  <si>
    <t>Przychody z działalności podstawowej</t>
  </si>
  <si>
    <t>I. Przychody ze sprzedaży produktów</t>
  </si>
  <si>
    <t>Ia. Zmiana stanu produktów</t>
  </si>
  <si>
    <t>II. Przychody ze sprzedaży towarów i materiałów</t>
  </si>
  <si>
    <t>Przychody finansowe</t>
  </si>
  <si>
    <t>I. Odsetki uzyskane</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</si>
</sst>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Red]\-#,##0.00\ "/>
    <numFmt numFmtId="165" formatCode="#,##0.00_ ;\-#,##0.00\ "/>
    <numFmt numFmtId="166" formatCode="#,##0.00;[Red]#,##0.00"/>
  </numFmts>
  <fonts count="48">
    <font>
      <sz val="10"/>
      <name val="Arial"/>
      <family val="0"/>
    </font>
    <font>
      <sz val="8"/>
      <name val="CG Times (WE)"/>
      <family val="1"/>
    </font>
    <font>
      <b/>
      <sz val="12"/>
      <name val="Arial"/>
      <family val="2"/>
    </font>
    <font>
      <b/>
      <sz val="7"/>
      <name val="CG Times (WE)"/>
      <family val="1"/>
    </font>
    <font>
      <sz val="7"/>
      <name val="CG Times (WE)"/>
      <family val="1"/>
    </font>
    <font>
      <b/>
      <sz val="10"/>
      <name val="Arial"/>
      <family val="2"/>
    </font>
    <font>
      <sz val="12"/>
      <name val="CG Times (WE)"/>
      <family val="1"/>
    </font>
    <font>
      <b/>
      <sz val="12"/>
      <name val="CG Times (WE)"/>
      <family val="1"/>
    </font>
    <font>
      <b/>
      <sz val="8"/>
      <name val="CG Times (WE)"/>
      <family val="1"/>
    </font>
    <font>
      <i/>
      <sz val="8"/>
      <name val="CG Times (WE)"/>
      <family val="1"/>
    </font>
    <font>
      <b/>
      <sz val="10"/>
      <name val="Arial CE"/>
      <family val="0"/>
    </font>
    <font>
      <sz val="10"/>
      <name val="Arial CE"/>
      <family val="0"/>
    </font>
    <font>
      <sz val="9"/>
      <name val="Arial CE"/>
      <family val="2"/>
    </font>
    <font>
      <b/>
      <sz val="9"/>
      <name val="Arial CE"/>
      <family val="2"/>
    </font>
    <font>
      <b/>
      <sz val="12"/>
      <name val="Arial CE"/>
      <family val="2"/>
    </font>
    <font>
      <sz val="9"/>
      <name val="Times New Roman CE"/>
      <family val="1"/>
    </font>
    <font>
      <b/>
      <sz val="9"/>
      <name val="Times New Roman CE"/>
      <family val="1"/>
    </font>
    <font>
      <sz val="10"/>
      <name val="Times New Roman CE"/>
      <family val="1"/>
    </font>
    <font>
      <b/>
      <sz val="12"/>
      <name val="Times New Roman CE"/>
      <family val="1"/>
    </font>
    <font>
      <b/>
      <sz val="10"/>
      <name val="Times New Roman CE"/>
      <family val="1"/>
    </font>
    <font>
      <b/>
      <sz val="11"/>
      <name val="Times New Roman CE"/>
      <family val="1"/>
    </font>
    <font>
      <sz val="8"/>
      <name val="Times New Roman CE"/>
      <family val="0"/>
    </font>
    <font>
      <sz val="8"/>
      <color indexed="8"/>
      <name val="Times New Roman CE"/>
      <family val="1"/>
    </font>
    <font>
      <b/>
      <sz val="14"/>
      <color indexed="8"/>
      <name val="Times New Roman CE"/>
      <family val="1"/>
    </font>
    <font>
      <b/>
      <sz val="10"/>
      <color indexed="8"/>
      <name val="Times New Roman CE"/>
      <family val="0"/>
    </font>
    <font>
      <b/>
      <sz val="7"/>
      <color indexed="8"/>
      <name val="Times New Roman CE"/>
      <family val="1"/>
    </font>
    <font>
      <sz val="9"/>
      <color indexed="8"/>
      <name val="Times New Roman CE"/>
      <family val="0"/>
    </font>
    <font>
      <b/>
      <sz val="9"/>
      <color indexed="8"/>
      <name val="Times New Roman CE"/>
      <family val="0"/>
    </font>
    <font>
      <b/>
      <sz val="14"/>
      <name val="Times New Roman CE"/>
      <family val="1"/>
    </font>
    <font>
      <b/>
      <sz val="8"/>
      <color indexed="8"/>
      <name val="Times New Roman CE"/>
      <family val="0"/>
    </font>
    <font>
      <b/>
      <sz val="13"/>
      <color indexed="8"/>
      <name val="Times New Roman CE"/>
      <family val="1"/>
    </font>
    <font>
      <sz val="10"/>
      <color indexed="8"/>
      <name val="Times New Roman CE"/>
      <family val="0"/>
    </font>
    <font>
      <b/>
      <sz val="11"/>
      <name val="Arial CE"/>
      <family val="2"/>
    </font>
    <font>
      <b/>
      <sz val="8"/>
      <name val="Arial CE"/>
      <family val="2"/>
    </font>
    <font>
      <b/>
      <i/>
      <sz val="11"/>
      <name val="Arial CE"/>
      <family val="2"/>
    </font>
    <font>
      <i/>
      <sz val="10"/>
      <name val="Arial CE"/>
      <family val="2"/>
    </font>
    <font>
      <i/>
      <sz val="9"/>
      <name val="Arial CE"/>
      <family val="2"/>
    </font>
    <font>
      <b/>
      <i/>
      <sz val="10"/>
      <name val="Arial CE"/>
      <family val="2"/>
    </font>
    <font>
      <b/>
      <sz val="10"/>
      <color indexed="8"/>
      <name val="Arial CE"/>
      <family val="2"/>
    </font>
    <font>
      <sz val="10"/>
      <color indexed="8"/>
      <name val="Arial CE"/>
      <family val="2"/>
    </font>
    <font>
      <sz val="8"/>
      <name val="Arial CE"/>
      <family val="2"/>
    </font>
    <font>
      <sz val="14"/>
      <name val="Arial CE"/>
      <family val="2"/>
    </font>
    <font>
      <sz val="7"/>
      <name val="Arial CE"/>
      <family val="2"/>
    </font>
    <font>
      <b/>
      <sz val="7"/>
      <name val="Arial CE"/>
      <family val="2"/>
    </font>
    <font>
      <sz val="12"/>
      <name val="Arial CE"/>
      <family val="2"/>
    </font>
    <font>
      <b/>
      <sz val="14"/>
      <name val="Arial CE"/>
      <family val="2"/>
    </font>
    <font>
      <sz val="11"/>
      <name val="Arial CE"/>
      <family val="2"/>
    </font>
    <font>
      <b/>
      <i/>
      <sz val="14"/>
      <name val="Arial CE"/>
      <family val="2"/>
    </font>
  </fonts>
  <fills count="1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gray0625"/>
    </fill>
    <fill>
      <patternFill patternType="gray0625">
        <fgColor indexed="22"/>
      </patternFill>
    </fill>
    <fill>
      <patternFill patternType="gray0625">
        <fgColor indexed="9"/>
        <bgColor indexed="9"/>
      </patternFill>
    </fill>
    <fill>
      <patternFill patternType="solid">
        <fgColor indexed="9"/>
        <bgColor indexed="64"/>
      </patternFill>
    </fill>
    <fill>
      <patternFill patternType="solid">
        <fgColor indexed="65"/>
        <bgColor indexed="64"/>
      </patternFill>
    </fill>
    <fill>
      <patternFill patternType="gray0625">
        <fgColor indexed="22"/>
        <bgColor indexed="9"/>
      </patternFill>
    </fill>
    <fill>
      <patternFill patternType="gray125">
        <bgColor indexed="22"/>
      </patternFill>
    </fill>
    <fill>
      <patternFill patternType="gray125">
        <bgColor indexed="9"/>
      </patternFill>
    </fill>
    <fill>
      <patternFill patternType="solid">
        <fgColor indexed="41"/>
        <bgColor indexed="64"/>
      </patternFill>
    </fill>
    <fill>
      <patternFill patternType="solid">
        <fgColor indexed="42"/>
        <bgColor indexed="64"/>
      </patternFill>
    </fill>
  </fills>
  <borders count="82">
    <border>
      <left/>
      <right/>
      <top/>
      <bottom/>
      <diagonal/>
    </border>
    <border>
      <left style="thin"/>
      <right style="thin"/>
      <top style="thin"/>
      <bottom style="thin"/>
    </border>
    <border>
      <left style="double"/>
      <right style="thin"/>
      <top style="double"/>
      <bottom>
        <color indexed="63"/>
      </bottom>
    </border>
    <border>
      <left>
        <color indexed="63"/>
      </left>
      <right style="double"/>
      <top style="double"/>
      <bottom style="thin"/>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double"/>
      <bottom style="thin"/>
    </border>
    <border>
      <left>
        <color indexed="63"/>
      </left>
      <right style="thin"/>
      <top>
        <color indexed="63"/>
      </top>
      <bottom style="thin"/>
    </border>
    <border>
      <left>
        <color indexed="63"/>
      </left>
      <right style="double"/>
      <top>
        <color indexed="63"/>
      </top>
      <bottom style="thin"/>
    </border>
    <border>
      <left style="double"/>
      <right style="thin"/>
      <top>
        <color indexed="63"/>
      </top>
      <bottom style="thin"/>
    </border>
    <border>
      <left style="thin"/>
      <right style="double"/>
      <top>
        <color indexed="63"/>
      </top>
      <bottom style="thin"/>
    </border>
    <border>
      <left style="double"/>
      <right style="thin"/>
      <top>
        <color indexed="63"/>
      </top>
      <bottom>
        <color indexed="63"/>
      </bottom>
    </border>
    <border>
      <left>
        <color indexed="63"/>
      </left>
      <right style="thin"/>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thick"/>
      <right style="thin"/>
      <top style="thick"/>
      <bottom style="medium"/>
    </border>
    <border>
      <left style="thin"/>
      <right style="thick"/>
      <top style="thick"/>
      <bottom style="medium"/>
    </border>
    <border>
      <left style="thick"/>
      <right>
        <color indexed="63"/>
      </right>
      <top style="medium"/>
      <bottom style="medium"/>
    </border>
    <border>
      <left>
        <color indexed="63"/>
      </left>
      <right style="thick"/>
      <top style="medium"/>
      <bottom style="medium"/>
    </border>
    <border>
      <left style="thick"/>
      <right style="thin"/>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ck"/>
      <right style="thin"/>
      <top style="thin"/>
      <bottom style="medium"/>
    </border>
    <border>
      <left style="thin"/>
      <right style="thick"/>
      <top style="thin"/>
      <bottom style="medium"/>
    </border>
    <border>
      <left style="thick"/>
      <right>
        <color indexed="63"/>
      </right>
      <top>
        <color indexed="63"/>
      </top>
      <bottom style="medium"/>
    </border>
    <border>
      <left>
        <color indexed="63"/>
      </left>
      <right style="thick"/>
      <top>
        <color indexed="63"/>
      </top>
      <bottom style="medium"/>
    </border>
    <border>
      <left style="thick"/>
      <right style="thin"/>
      <top style="thin"/>
      <bottom style="thick"/>
    </border>
    <border>
      <left style="thin"/>
      <right style="thick"/>
      <top style="thin"/>
      <bottom style="thick"/>
    </border>
    <border>
      <left>
        <color indexed="63"/>
      </left>
      <right>
        <color indexed="63"/>
      </right>
      <top>
        <color indexed="63"/>
      </top>
      <bottom style="thick"/>
    </border>
    <border>
      <left style="thick"/>
      <right style="thin"/>
      <top style="thick"/>
      <bottom style="thin"/>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double"/>
      <right style="double"/>
      <top style="double"/>
      <bottom style="double"/>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style="medium"/>
    </border>
    <border>
      <left style="medium"/>
      <right>
        <color indexed="63"/>
      </right>
      <top>
        <color indexed="63"/>
      </top>
      <bottom style="medium"/>
    </border>
    <border>
      <left style="medium"/>
      <right style="medium"/>
      <top>
        <color indexed="63"/>
      </top>
      <bottom style="medium"/>
    </border>
    <border>
      <left style="medium"/>
      <right style="medium"/>
      <top style="medium"/>
      <bottom>
        <color indexed="63"/>
      </bottom>
    </border>
    <border>
      <left>
        <color indexed="63"/>
      </left>
      <right style="thin"/>
      <top style="thin"/>
      <bottom style="thin"/>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4">
    <xf numFmtId="0" fontId="0" fillId="0" borderId="0" xfId="0" applyAlignment="1">
      <alignment/>
    </xf>
    <xf numFmtId="0" fontId="1"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164" fontId="1" fillId="0" borderId="0" xfId="0" applyNumberFormat="1"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64" fontId="3" fillId="0" borderId="0" xfId="0" applyNumberFormat="1" applyFont="1" applyFill="1" applyBorder="1" applyAlignment="1" applyProtection="1">
      <alignment horizontal="centerContinuous" vertical="center"/>
      <protection/>
    </xf>
    <xf numFmtId="0" fontId="3" fillId="2" borderId="0" xfId="0" applyFont="1" applyFill="1" applyBorder="1" applyAlignment="1" applyProtection="1">
      <alignment vertical="center"/>
      <protection/>
    </xf>
    <xf numFmtId="164" fontId="3" fillId="2" borderId="0" xfId="0" applyNumberFormat="1" applyFont="1" applyFill="1" applyBorder="1" applyAlignment="1" applyProtection="1">
      <alignment vertical="center"/>
      <protection/>
    </xf>
    <xf numFmtId="0" fontId="4" fillId="2" borderId="0" xfId="0" applyFont="1" applyFill="1" applyBorder="1" applyAlignment="1" applyProtection="1">
      <alignment vertical="center"/>
      <protection/>
    </xf>
    <xf numFmtId="164" fontId="4" fillId="2"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locked="0"/>
    </xf>
    <xf numFmtId="0" fontId="4" fillId="2" borderId="0" xfId="0" applyFont="1" applyFill="1" applyBorder="1" applyAlignment="1" applyProtection="1" quotePrefix="1">
      <alignment horizontal="left" vertical="center"/>
      <protection/>
    </xf>
    <xf numFmtId="0" fontId="4" fillId="0" borderId="0" xfId="0" applyFont="1" applyFill="1" applyBorder="1" applyAlignment="1" applyProtection="1" quotePrefix="1">
      <alignment horizontal="left" vertical="center"/>
      <protection/>
    </xf>
    <xf numFmtId="164" fontId="4" fillId="2" borderId="0" xfId="0" applyNumberFormat="1" applyFont="1" applyFill="1" applyBorder="1" applyAlignment="1" applyProtection="1">
      <alignment vertical="center"/>
      <protection locked="0"/>
    </xf>
    <xf numFmtId="0" fontId="3" fillId="2" borderId="0" xfId="0" applyFont="1" applyFill="1" applyBorder="1" applyAlignment="1" applyProtection="1">
      <alignment horizontal="left" vertical="center"/>
      <protection/>
    </xf>
    <xf numFmtId="0" fontId="3" fillId="2" borderId="0" xfId="0" applyFont="1" applyFill="1" applyBorder="1" applyAlignment="1" applyProtection="1">
      <alignment horizontal="center" vertical="center"/>
      <protection/>
    </xf>
    <xf numFmtId="164" fontId="4"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Continuous" vertical="center"/>
      <protection/>
    </xf>
    <xf numFmtId="0" fontId="2" fillId="0" borderId="0" xfId="0" applyFont="1" applyFill="1" applyBorder="1" applyAlignment="1" applyProtection="1">
      <alignment horizontal="center" vertical="center"/>
      <protection/>
    </xf>
    <xf numFmtId="164" fontId="4" fillId="0" borderId="0" xfId="0" applyNumberFormat="1"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164" fontId="4" fillId="0" borderId="0" xfId="15" applyNumberFormat="1" applyFont="1" applyFill="1" applyBorder="1" applyAlignment="1" applyProtection="1">
      <alignment horizontal="right" vertical="center"/>
      <protection locked="0"/>
    </xf>
    <xf numFmtId="41" fontId="4" fillId="2" borderId="0" xfId="0" applyNumberFormat="1" applyFont="1" applyFill="1" applyBorder="1" applyAlignment="1" applyProtection="1">
      <alignment vertical="center"/>
      <protection/>
    </xf>
    <xf numFmtId="164" fontId="3" fillId="2" borderId="0" xfId="0" applyNumberFormat="1" applyFont="1" applyFill="1" applyBorder="1" applyAlignment="1" applyProtection="1">
      <alignment vertical="center"/>
      <protection locked="0"/>
    </xf>
    <xf numFmtId="41" fontId="3" fillId="2" borderId="0" xfId="0" applyNumberFormat="1" applyFont="1" applyFill="1" applyBorder="1" applyAlignment="1" applyProtection="1">
      <alignment vertical="center" wrapText="1"/>
      <protection/>
    </xf>
    <xf numFmtId="0" fontId="0" fillId="0" borderId="0" xfId="0" applyAlignment="1">
      <alignment horizontal="center"/>
    </xf>
    <xf numFmtId="0" fontId="5" fillId="0" borderId="0" xfId="0" applyFont="1" applyAlignment="1">
      <alignment horizontal="center"/>
    </xf>
    <xf numFmtId="164" fontId="6" fillId="0" borderId="0" xfId="0" applyNumberFormat="1" applyFont="1" applyFill="1" applyBorder="1" applyAlignment="1" applyProtection="1">
      <alignment vertical="center"/>
      <protection/>
    </xf>
    <xf numFmtId="164" fontId="7" fillId="0" borderId="0" xfId="0" applyNumberFormat="1" applyFont="1" applyFill="1" applyBorder="1" applyAlignment="1" applyProtection="1">
      <alignment horizontal="centerContinuous" vertical="center"/>
      <protection locked="0"/>
    </xf>
    <xf numFmtId="164" fontId="6" fillId="0" borderId="0" xfId="0" applyNumberFormat="1" applyFont="1" applyFill="1" applyBorder="1" applyAlignment="1" applyProtection="1">
      <alignment horizontal="centerContinuous" vertical="center"/>
      <protection/>
    </xf>
    <xf numFmtId="164" fontId="8" fillId="0" borderId="0" xfId="0" applyNumberFormat="1" applyFont="1" applyFill="1" applyBorder="1" applyAlignment="1" applyProtection="1">
      <alignment horizontal="center" vertical="center" wrapText="1"/>
      <protection/>
    </xf>
    <xf numFmtId="164" fontId="8" fillId="0" borderId="0" xfId="0" applyNumberFormat="1" applyFont="1" applyFill="1" applyBorder="1" applyAlignment="1" applyProtection="1">
      <alignment horizontal="centerContinuous" vertical="center" wrapText="1"/>
      <protection/>
    </xf>
    <xf numFmtId="164" fontId="8" fillId="2" borderId="0" xfId="0" applyNumberFormat="1" applyFont="1" applyFill="1" applyBorder="1" applyAlignment="1" applyProtection="1">
      <alignment vertical="center"/>
      <protection/>
    </xf>
    <xf numFmtId="164" fontId="8" fillId="0" borderId="0" xfId="0" applyNumberFormat="1" applyFont="1" applyFill="1" applyBorder="1" applyAlignment="1" applyProtection="1">
      <alignment horizontal="left" vertical="center"/>
      <protection/>
    </xf>
    <xf numFmtId="164" fontId="8" fillId="0" borderId="0" xfId="0" applyNumberFormat="1" applyFont="1" applyFill="1" applyBorder="1" applyAlignment="1" applyProtection="1">
      <alignment vertical="center"/>
      <protection locked="0"/>
    </xf>
    <xf numFmtId="164" fontId="1" fillId="0" borderId="0" xfId="0" applyNumberFormat="1" applyFont="1" applyFill="1" applyBorder="1" applyAlignment="1" applyProtection="1">
      <alignment vertical="center"/>
      <protection locked="0"/>
    </xf>
    <xf numFmtId="164" fontId="8" fillId="0" borderId="0" xfId="0" applyNumberFormat="1" applyFont="1" applyFill="1" applyBorder="1" applyAlignment="1" applyProtection="1">
      <alignment horizontal="left" vertical="center"/>
      <protection/>
    </xf>
    <xf numFmtId="164" fontId="8" fillId="0" borderId="0" xfId="0" applyNumberFormat="1" applyFont="1" applyFill="1" applyBorder="1" applyAlignment="1" applyProtection="1">
      <alignment vertical="center"/>
      <protection locked="0"/>
    </xf>
    <xf numFmtId="164" fontId="8" fillId="0" borderId="0" xfId="0" applyNumberFormat="1" applyFont="1" applyFill="1" applyBorder="1" applyAlignment="1" applyProtection="1">
      <alignment vertical="center"/>
      <protection/>
    </xf>
    <xf numFmtId="164" fontId="9" fillId="0" borderId="0" xfId="0" applyNumberFormat="1" applyFont="1" applyFill="1" applyBorder="1" applyAlignment="1" applyProtection="1">
      <alignment vertical="center"/>
      <protection/>
    </xf>
    <xf numFmtId="164" fontId="9" fillId="0" borderId="0" xfId="0" applyNumberFormat="1" applyFont="1" applyFill="1" applyBorder="1" applyAlignment="1" applyProtection="1">
      <alignment vertical="center"/>
      <protection locked="0"/>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horizontal="left" vertical="center"/>
      <protection/>
    </xf>
    <xf numFmtId="164" fontId="8" fillId="2" borderId="0" xfId="0" applyNumberFormat="1" applyFont="1" applyFill="1" applyBorder="1" applyAlignment="1" applyProtection="1">
      <alignment horizontal="left" vertical="center"/>
      <protection/>
    </xf>
    <xf numFmtId="164" fontId="8" fillId="2" borderId="0" xfId="0" applyNumberFormat="1" applyFont="1" applyFill="1" applyBorder="1" applyAlignment="1" applyProtection="1">
      <alignment vertical="center"/>
      <protection locked="0"/>
    </xf>
    <xf numFmtId="164" fontId="8" fillId="2" borderId="0" xfId="0" applyNumberFormat="1" applyFont="1" applyFill="1" applyBorder="1" applyAlignment="1" applyProtection="1">
      <alignment vertical="center"/>
      <protection locked="0"/>
    </xf>
    <xf numFmtId="164" fontId="8" fillId="2" borderId="0" xfId="0" applyNumberFormat="1" applyFont="1" applyFill="1" applyBorder="1" applyAlignment="1" applyProtection="1">
      <alignment vertical="center"/>
      <protection/>
    </xf>
    <xf numFmtId="164" fontId="1" fillId="2" borderId="0" xfId="0" applyNumberFormat="1" applyFont="1" applyFill="1" applyBorder="1" applyAlignment="1" applyProtection="1">
      <alignment vertical="center"/>
      <protection/>
    </xf>
    <xf numFmtId="164" fontId="7" fillId="0" borderId="0" xfId="0" applyNumberFormat="1" applyFont="1" applyFill="1" applyBorder="1" applyAlignment="1" applyProtection="1">
      <alignment horizontal="left" vertical="center"/>
      <protection locked="0"/>
    </xf>
    <xf numFmtId="0" fontId="10" fillId="0" borderId="0" xfId="0" applyFont="1" applyAlignment="1">
      <alignment/>
    </xf>
    <xf numFmtId="0" fontId="10" fillId="0" borderId="0" xfId="0" applyFont="1" applyBorder="1" applyAlignment="1">
      <alignment/>
    </xf>
    <xf numFmtId="0" fontId="0" fillId="0" borderId="0" xfId="0" applyBorder="1" applyAlignment="1">
      <alignment/>
    </xf>
    <xf numFmtId="43" fontId="10" fillId="0" borderId="1" xfId="15" applyFont="1" applyBorder="1" applyAlignment="1">
      <alignment/>
    </xf>
    <xf numFmtId="43" fontId="0" fillId="0" borderId="1" xfId="15" applyBorder="1" applyAlignment="1">
      <alignment/>
    </xf>
    <xf numFmtId="0" fontId="0" fillId="0" borderId="0" xfId="0" applyBorder="1" applyAlignment="1">
      <alignment/>
    </xf>
    <xf numFmtId="43" fontId="0" fillId="0" borderId="1" xfId="15" applyFont="1" applyBorder="1" applyAlignment="1">
      <alignment/>
    </xf>
    <xf numFmtId="43" fontId="10" fillId="0" borderId="1" xfId="15" applyFont="1" applyBorder="1" applyAlignment="1">
      <alignment/>
    </xf>
    <xf numFmtId="43" fontId="0" fillId="0" borderId="1" xfId="15" applyFont="1" applyBorder="1" applyAlignment="1">
      <alignment horizontal="center"/>
    </xf>
    <xf numFmtId="43" fontId="0" fillId="0" borderId="1" xfId="15" applyBorder="1" applyAlignment="1">
      <alignment horizontal="center"/>
    </xf>
    <xf numFmtId="0" fontId="11" fillId="0" borderId="0" xfId="0" applyFont="1" applyBorder="1" applyAlignment="1">
      <alignment/>
    </xf>
    <xf numFmtId="43" fontId="11" fillId="0" borderId="1" xfId="15" applyFont="1" applyBorder="1" applyAlignment="1">
      <alignment/>
    </xf>
    <xf numFmtId="43" fontId="10" fillId="0" borderId="0" xfId="15" applyFont="1" applyBorder="1" applyAlignment="1">
      <alignment/>
    </xf>
    <xf numFmtId="43" fontId="0" fillId="0" borderId="0" xfId="15" applyBorder="1" applyAlignment="1">
      <alignment/>
    </xf>
    <xf numFmtId="43" fontId="11" fillId="0" borderId="1" xfId="15" applyFont="1" applyBorder="1" applyAlignment="1">
      <alignment/>
    </xf>
    <xf numFmtId="43" fontId="10" fillId="0" borderId="1" xfId="15" applyFont="1" applyBorder="1" applyAlignment="1">
      <alignment horizontal="center"/>
    </xf>
    <xf numFmtId="0" fontId="5" fillId="0" borderId="0" xfId="0" applyFont="1" applyAlignment="1">
      <alignment/>
    </xf>
    <xf numFmtId="43" fontId="10" fillId="0" borderId="1" xfId="15" applyFont="1" applyBorder="1" applyAlignment="1">
      <alignment horizontal="center"/>
    </xf>
    <xf numFmtId="0" fontId="12" fillId="0" borderId="0" xfId="0" applyFont="1" applyAlignment="1" applyProtection="1">
      <alignment horizontal="left" vertical="top" wrapText="1"/>
      <protection/>
    </xf>
    <xf numFmtId="0" fontId="13" fillId="0" borderId="2"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5" xfId="0" applyFont="1" applyBorder="1" applyAlignment="1" applyProtection="1">
      <alignment horizontal="center" vertical="top" wrapText="1"/>
      <protection hidden="1"/>
    </xf>
    <xf numFmtId="0" fontId="12" fillId="0" borderId="1" xfId="0" applyFont="1" applyBorder="1" applyAlignment="1" applyProtection="1">
      <alignment horizontal="center" vertical="top" wrapText="1"/>
      <protection hidden="1"/>
    </xf>
    <xf numFmtId="0" fontId="12" fillId="0" borderId="4" xfId="0" applyFont="1" applyBorder="1" applyAlignment="1" applyProtection="1">
      <alignment horizontal="center" vertical="top" wrapText="1"/>
      <protection hidden="1"/>
    </xf>
    <xf numFmtId="0" fontId="13" fillId="0" borderId="5" xfId="0" applyNumberFormat="1" applyFont="1" applyBorder="1" applyAlignment="1" applyProtection="1">
      <alignment horizontal="justify" vertical="top" wrapText="1"/>
      <protection hidden="1"/>
    </xf>
    <xf numFmtId="4" fontId="13" fillId="3" borderId="1" xfId="0" applyNumberFormat="1" applyFont="1" applyFill="1" applyBorder="1" applyAlignment="1" applyProtection="1">
      <alignment wrapText="1"/>
      <protection/>
    </xf>
    <xf numFmtId="4" fontId="13" fillId="3" borderId="4" xfId="0" applyNumberFormat="1" applyFont="1" applyFill="1" applyBorder="1" applyAlignment="1" applyProtection="1">
      <alignment wrapText="1"/>
      <protection/>
    </xf>
    <xf numFmtId="0" fontId="12" fillId="0" borderId="5" xfId="0" applyNumberFormat="1" applyFont="1" applyBorder="1" applyAlignment="1" applyProtection="1">
      <alignment horizontal="left" vertical="top" wrapText="1"/>
      <protection hidden="1"/>
    </xf>
    <xf numFmtId="4" fontId="12" fillId="0" borderId="1" xfId="0" applyNumberFormat="1" applyFont="1" applyBorder="1" applyAlignment="1" applyProtection="1">
      <alignment/>
      <protection locked="0"/>
    </xf>
    <xf numFmtId="4" fontId="12" fillId="0" borderId="4" xfId="0" applyNumberFormat="1" applyFont="1" applyBorder="1" applyAlignment="1" applyProtection="1">
      <alignment wrapText="1"/>
      <protection locked="0"/>
    </xf>
    <xf numFmtId="0" fontId="12" fillId="0" borderId="5" xfId="0" applyNumberFormat="1" applyFont="1" applyBorder="1" applyAlignment="1" applyProtection="1">
      <alignment horizontal="justify" vertical="top" wrapText="1"/>
      <protection hidden="1"/>
    </xf>
    <xf numFmtId="4" fontId="12" fillId="0" borderId="1" xfId="0" applyNumberFormat="1" applyFont="1" applyBorder="1" applyAlignment="1" applyProtection="1">
      <alignment wrapText="1"/>
      <protection locked="0"/>
    </xf>
    <xf numFmtId="4" fontId="12" fillId="3" borderId="1" xfId="0" applyNumberFormat="1" applyFont="1" applyFill="1" applyBorder="1" applyAlignment="1" applyProtection="1">
      <alignment wrapText="1"/>
      <protection/>
    </xf>
    <xf numFmtId="4" fontId="12" fillId="3" borderId="4" xfId="0" applyNumberFormat="1" applyFont="1" applyFill="1" applyBorder="1" applyAlignment="1" applyProtection="1">
      <alignment wrapText="1"/>
      <protection/>
    </xf>
    <xf numFmtId="4" fontId="13" fillId="0" borderId="1" xfId="0" applyNumberFormat="1" applyFont="1" applyBorder="1" applyAlignment="1" applyProtection="1">
      <alignment wrapText="1"/>
      <protection locked="0"/>
    </xf>
    <xf numFmtId="4" fontId="13" fillId="0" borderId="4" xfId="0" applyNumberFormat="1" applyFont="1" applyBorder="1" applyAlignment="1" applyProtection="1">
      <alignment wrapText="1"/>
      <protection locked="0"/>
    </xf>
    <xf numFmtId="0" fontId="13" fillId="0" borderId="6" xfId="0" applyNumberFormat="1" applyFont="1" applyBorder="1" applyAlignment="1" applyProtection="1">
      <alignment horizontal="justify" vertical="top" wrapText="1"/>
      <protection hidden="1"/>
    </xf>
    <xf numFmtId="4" fontId="13" fillId="3" borderId="7" xfId="0" applyNumberFormat="1" applyFont="1" applyFill="1" applyBorder="1" applyAlignment="1" applyProtection="1">
      <alignment wrapText="1"/>
      <protection/>
    </xf>
    <xf numFmtId="4" fontId="13" fillId="3" borderId="8" xfId="0" applyNumberFormat="1" applyFont="1" applyFill="1" applyBorder="1" applyAlignment="1" applyProtection="1">
      <alignment wrapText="1"/>
      <protection/>
    </xf>
    <xf numFmtId="0" fontId="13" fillId="0" borderId="5" xfId="0" applyFont="1" applyBorder="1" applyAlignment="1" applyProtection="1">
      <alignment horizontal="justify" vertical="top" wrapText="1"/>
      <protection hidden="1"/>
    </xf>
    <xf numFmtId="0" fontId="12" fillId="0" borderId="5" xfId="0" applyFont="1" applyBorder="1" applyAlignment="1" applyProtection="1">
      <alignment horizontal="justify" vertical="top" wrapText="1"/>
      <protection hidden="1"/>
    </xf>
    <xf numFmtId="0" fontId="13" fillId="0" borderId="6" xfId="0" applyFont="1" applyBorder="1" applyAlignment="1" applyProtection="1">
      <alignment horizontal="justify" vertical="top" wrapText="1"/>
      <protection hidden="1"/>
    </xf>
    <xf numFmtId="0" fontId="12" fillId="0" borderId="9" xfId="0" applyFont="1" applyBorder="1" applyAlignment="1" applyProtection="1">
      <alignment horizontal="center" vertical="center" wrapText="1"/>
      <protection hidden="1"/>
    </xf>
    <xf numFmtId="0" fontId="12" fillId="0" borderId="10" xfId="0" applyFont="1" applyBorder="1" applyAlignment="1" applyProtection="1">
      <alignment horizontal="center" vertical="top" wrapText="1"/>
      <protection hidden="1"/>
    </xf>
    <xf numFmtId="0" fontId="12" fillId="0" borderId="11" xfId="0" applyFont="1" applyBorder="1" applyAlignment="1" applyProtection="1">
      <alignment horizontal="center" vertical="top" wrapText="1"/>
      <protection hidden="1"/>
    </xf>
    <xf numFmtId="0" fontId="13" fillId="0" borderId="12" xfId="0" applyFont="1" applyBorder="1" applyAlignment="1" applyProtection="1">
      <alignment horizontal="left" vertical="top" wrapText="1"/>
      <protection hidden="1"/>
    </xf>
    <xf numFmtId="4" fontId="13" fillId="3" borderId="10" xfId="0" applyNumberFormat="1" applyFont="1" applyFill="1" applyBorder="1" applyAlignment="1" applyProtection="1">
      <alignment wrapText="1"/>
      <protection/>
    </xf>
    <xf numFmtId="0" fontId="12" fillId="0" borderId="12" xfId="0" applyFont="1" applyBorder="1" applyAlignment="1" applyProtection="1">
      <alignment horizontal="left" vertical="top" wrapText="1" indent="1"/>
      <protection hidden="1"/>
    </xf>
    <xf numFmtId="4" fontId="12" fillId="3" borderId="10" xfId="0" applyNumberFormat="1" applyFont="1" applyFill="1" applyBorder="1" applyAlignment="1" applyProtection="1">
      <alignment wrapText="1"/>
      <protection/>
    </xf>
    <xf numFmtId="4" fontId="12" fillId="3" borderId="13" xfId="0" applyNumberFormat="1" applyFont="1" applyFill="1" applyBorder="1" applyAlignment="1" applyProtection="1">
      <alignment wrapText="1"/>
      <protection/>
    </xf>
    <xf numFmtId="4" fontId="13" fillId="3" borderId="13" xfId="0" applyNumberFormat="1" applyFont="1" applyFill="1" applyBorder="1" applyAlignment="1" applyProtection="1">
      <alignment wrapText="1"/>
      <protection/>
    </xf>
    <xf numFmtId="0" fontId="12" fillId="0" borderId="5" xfId="0" applyFont="1" applyBorder="1" applyAlignment="1" applyProtection="1">
      <alignment horizontal="left" vertical="top" wrapText="1" indent="2"/>
      <protection hidden="1"/>
    </xf>
    <xf numFmtId="0" fontId="12" fillId="0" borderId="12" xfId="0" applyFont="1" applyBorder="1" applyAlignment="1" applyProtection="1">
      <alignment horizontal="left" vertical="top" wrapText="1" indent="2"/>
      <protection hidden="1"/>
    </xf>
    <xf numFmtId="0" fontId="12" fillId="0" borderId="14" xfId="0" applyFont="1" applyBorder="1" applyAlignment="1" applyProtection="1">
      <alignment horizontal="left" vertical="top" wrapText="1" indent="2"/>
      <protection hidden="1"/>
    </xf>
    <xf numFmtId="0" fontId="12" fillId="0" borderId="5" xfId="0" applyFont="1" applyBorder="1" applyAlignment="1" applyProtection="1">
      <alignment horizontal="left" vertical="top" wrapText="1" indent="1"/>
      <protection hidden="1"/>
    </xf>
    <xf numFmtId="0" fontId="13" fillId="0" borderId="14" xfId="0" applyFont="1" applyBorder="1" applyAlignment="1" applyProtection="1">
      <alignment horizontal="left" vertical="top" wrapText="1"/>
      <protection hidden="1"/>
    </xf>
    <xf numFmtId="0" fontId="13" fillId="0" borderId="6" xfId="0" applyFont="1" applyBorder="1" applyAlignment="1" applyProtection="1">
      <alignment horizontal="left" vertical="top" wrapText="1"/>
      <protection hidden="1"/>
    </xf>
    <xf numFmtId="4" fontId="13" fillId="3" borderId="15" xfId="0" applyNumberFormat="1" applyFont="1" applyFill="1" applyBorder="1" applyAlignment="1" applyProtection="1">
      <alignment wrapText="1"/>
      <protection/>
    </xf>
    <xf numFmtId="0" fontId="13" fillId="4" borderId="16" xfId="0" applyFont="1" applyFill="1" applyBorder="1" applyAlignment="1" applyProtection="1">
      <alignment horizontal="center" vertical="center" wrapText="1"/>
      <protection/>
    </xf>
    <xf numFmtId="4" fontId="12" fillId="4" borderId="17" xfId="0" applyNumberFormat="1" applyFont="1" applyFill="1" applyBorder="1" applyAlignment="1" applyProtection="1">
      <alignment horizontal="center" vertical="center"/>
      <protection/>
    </xf>
    <xf numFmtId="4" fontId="12" fillId="4" borderId="18" xfId="0" applyNumberFormat="1" applyFont="1" applyFill="1" applyBorder="1" applyAlignment="1" applyProtection="1">
      <alignment horizontal="center" vertical="center"/>
      <protection/>
    </xf>
    <xf numFmtId="0" fontId="12" fillId="4" borderId="5" xfId="0" applyFont="1" applyFill="1" applyBorder="1" applyAlignment="1" applyProtection="1">
      <alignment horizontal="center" wrapText="1"/>
      <protection/>
    </xf>
    <xf numFmtId="0" fontId="12" fillId="4" borderId="1" xfId="0" applyNumberFormat="1" applyFont="1" applyFill="1" applyBorder="1" applyAlignment="1" applyProtection="1">
      <alignment horizontal="center"/>
      <protection/>
    </xf>
    <xf numFmtId="0" fontId="12" fillId="4" borderId="4" xfId="0" applyNumberFormat="1" applyFont="1" applyFill="1" applyBorder="1" applyAlignment="1" applyProtection="1">
      <alignment horizontal="center"/>
      <protection/>
    </xf>
    <xf numFmtId="0" fontId="13" fillId="4" borderId="5" xfId="0" applyFont="1" applyFill="1" applyBorder="1" applyAlignment="1" applyProtection="1">
      <alignment wrapText="1"/>
      <protection/>
    </xf>
    <xf numFmtId="4" fontId="13" fillId="4" borderId="1" xfId="0" applyNumberFormat="1" applyFont="1" applyFill="1" applyBorder="1" applyAlignment="1" applyProtection="1">
      <alignment/>
      <protection locked="0"/>
    </xf>
    <xf numFmtId="4" fontId="13" fillId="4" borderId="4" xfId="0" applyNumberFormat="1" applyFont="1" applyFill="1" applyBorder="1" applyAlignment="1" applyProtection="1">
      <alignment/>
      <protection locked="0"/>
    </xf>
    <xf numFmtId="4" fontId="13" fillId="3" borderId="1" xfId="0" applyNumberFormat="1" applyFont="1" applyFill="1" applyBorder="1" applyAlignment="1" applyProtection="1">
      <alignment/>
      <protection/>
    </xf>
    <xf numFmtId="4" fontId="13" fillId="3" borderId="4" xfId="0" applyNumberFormat="1" applyFont="1" applyFill="1" applyBorder="1" applyAlignment="1" applyProtection="1">
      <alignment/>
      <protection/>
    </xf>
    <xf numFmtId="0" fontId="12" fillId="4" borderId="5" xfId="0" applyFont="1" applyFill="1" applyBorder="1" applyAlignment="1" applyProtection="1">
      <alignment wrapText="1"/>
      <protection/>
    </xf>
    <xf numFmtId="4" fontId="12" fillId="3" borderId="1" xfId="0" applyNumberFormat="1" applyFont="1" applyFill="1" applyBorder="1" applyAlignment="1" applyProtection="1">
      <alignment/>
      <protection/>
    </xf>
    <xf numFmtId="4" fontId="12" fillId="3" borderId="4" xfId="0" applyNumberFormat="1" applyFont="1" applyFill="1" applyBorder="1" applyAlignment="1" applyProtection="1">
      <alignment/>
      <protection/>
    </xf>
    <xf numFmtId="4" fontId="12" fillId="4" borderId="1" xfId="0" applyNumberFormat="1" applyFont="1" applyFill="1" applyBorder="1" applyAlignment="1" applyProtection="1">
      <alignment/>
      <protection locked="0"/>
    </xf>
    <xf numFmtId="4" fontId="12" fillId="4" borderId="4" xfId="0" applyNumberFormat="1" applyFont="1" applyFill="1" applyBorder="1" applyAlignment="1" applyProtection="1">
      <alignment/>
      <protection locked="0"/>
    </xf>
    <xf numFmtId="0" fontId="12" fillId="4" borderId="6" xfId="0" applyFont="1" applyFill="1" applyBorder="1" applyAlignment="1" applyProtection="1">
      <alignment wrapText="1"/>
      <protection/>
    </xf>
    <xf numFmtId="4" fontId="12" fillId="3" borderId="7" xfId="0" applyNumberFormat="1" applyFont="1" applyFill="1" applyBorder="1" applyAlignment="1" applyProtection="1">
      <alignment/>
      <protection/>
    </xf>
    <xf numFmtId="4" fontId="12" fillId="3" borderId="8" xfId="0" applyNumberFormat="1" applyFont="1" applyFill="1" applyBorder="1" applyAlignment="1" applyProtection="1">
      <alignment/>
      <protection/>
    </xf>
    <xf numFmtId="0" fontId="14" fillId="0" borderId="0" xfId="0" applyFont="1" applyAlignment="1">
      <alignment/>
    </xf>
    <xf numFmtId="0" fontId="15" fillId="0" borderId="1" xfId="0" applyFont="1" applyBorder="1" applyAlignment="1">
      <alignment/>
    </xf>
    <xf numFmtId="0" fontId="16" fillId="0" borderId="1" xfId="0" applyFont="1" applyBorder="1" applyAlignment="1">
      <alignment horizontal="center"/>
    </xf>
    <xf numFmtId="0" fontId="15" fillId="0" borderId="1" xfId="0" applyFont="1" applyBorder="1" applyAlignment="1">
      <alignment horizontal="center"/>
    </xf>
    <xf numFmtId="0" fontId="16" fillId="0" borderId="1" xfId="0" applyFont="1" applyBorder="1" applyAlignment="1">
      <alignment/>
    </xf>
    <xf numFmtId="43" fontId="15" fillId="0" borderId="1" xfId="0" applyNumberFormat="1" applyFont="1" applyBorder="1" applyAlignment="1">
      <alignment/>
    </xf>
    <xf numFmtId="2" fontId="16" fillId="0" borderId="1" xfId="0" applyNumberFormat="1" applyFont="1" applyBorder="1" applyAlignment="1">
      <alignment/>
    </xf>
    <xf numFmtId="43" fontId="15" fillId="0" borderId="1" xfId="15" applyFont="1" applyBorder="1" applyAlignment="1">
      <alignment/>
    </xf>
    <xf numFmtId="43" fontId="0" fillId="0" borderId="0" xfId="0" applyNumberFormat="1" applyBorder="1" applyAlignment="1">
      <alignment/>
    </xf>
    <xf numFmtId="2" fontId="15" fillId="0" borderId="1" xfId="0" applyNumberFormat="1" applyFont="1" applyBorder="1" applyAlignment="1">
      <alignment/>
    </xf>
    <xf numFmtId="1" fontId="15" fillId="0" borderId="1" xfId="0" applyNumberFormat="1" applyFont="1" applyBorder="1" applyAlignment="1">
      <alignment/>
    </xf>
    <xf numFmtId="0" fontId="15" fillId="0" borderId="1" xfId="0" applyFont="1" applyBorder="1" applyAlignment="1">
      <alignment horizontal="left"/>
    </xf>
    <xf numFmtId="0" fontId="15" fillId="0" borderId="0" xfId="0" applyFont="1" applyBorder="1" applyAlignment="1">
      <alignment/>
    </xf>
    <xf numFmtId="0" fontId="16" fillId="0" borderId="0" xfId="0" applyFont="1" applyBorder="1" applyAlignment="1">
      <alignment horizontal="center"/>
    </xf>
    <xf numFmtId="43" fontId="15" fillId="0" borderId="0" xfId="0" applyNumberFormat="1" applyFont="1" applyBorder="1" applyAlignment="1">
      <alignment/>
    </xf>
    <xf numFmtId="0" fontId="15" fillId="0" borderId="0" xfId="0" applyFont="1" applyAlignment="1">
      <alignment/>
    </xf>
    <xf numFmtId="43" fontId="0" fillId="0" borderId="0" xfId="0" applyNumberFormat="1" applyAlignment="1">
      <alignment/>
    </xf>
    <xf numFmtId="0" fontId="17" fillId="0" borderId="0" xfId="0" applyFont="1" applyAlignment="1">
      <alignment/>
    </xf>
    <xf numFmtId="0" fontId="18" fillId="0" borderId="0" xfId="0" applyFont="1" applyAlignment="1">
      <alignment/>
    </xf>
    <xf numFmtId="43" fontId="17" fillId="0" borderId="0" xfId="0" applyNumberFormat="1" applyFont="1" applyAlignment="1">
      <alignment/>
    </xf>
    <xf numFmtId="0" fontId="17" fillId="0" borderId="1" xfId="0" applyFont="1" applyBorder="1" applyAlignment="1">
      <alignment/>
    </xf>
    <xf numFmtId="0" fontId="19" fillId="0" borderId="1" xfId="0" applyFont="1" applyBorder="1" applyAlignment="1">
      <alignment horizontal="center"/>
    </xf>
    <xf numFmtId="0" fontId="19" fillId="0" borderId="1" xfId="0" applyFont="1" applyBorder="1" applyAlignment="1">
      <alignment/>
    </xf>
    <xf numFmtId="0" fontId="20" fillId="0" borderId="1" xfId="0" applyFont="1" applyBorder="1" applyAlignment="1">
      <alignment/>
    </xf>
    <xf numFmtId="43" fontId="19" fillId="0" borderId="1" xfId="0" applyNumberFormat="1" applyFont="1" applyBorder="1" applyAlignment="1">
      <alignment/>
    </xf>
    <xf numFmtId="165" fontId="19" fillId="0" borderId="1" xfId="0" applyNumberFormat="1" applyFont="1" applyBorder="1" applyAlignment="1">
      <alignment/>
    </xf>
    <xf numFmtId="43" fontId="17" fillId="0" borderId="1" xfId="0" applyNumberFormat="1" applyFont="1" applyBorder="1" applyAlignment="1">
      <alignment/>
    </xf>
    <xf numFmtId="0" fontId="23" fillId="0" borderId="0" xfId="0" applyFont="1" applyFill="1" applyBorder="1" applyAlignment="1">
      <alignment vertical="top" wrapText="1"/>
    </xf>
    <xf numFmtId="0" fontId="24" fillId="5" borderId="19" xfId="0" applyFont="1" applyFill="1" applyBorder="1" applyAlignment="1">
      <alignment horizontal="right" vertical="center" wrapText="1"/>
    </xf>
    <xf numFmtId="0" fontId="25" fillId="5" borderId="20" xfId="0" applyNumberFormat="1" applyFont="1" applyFill="1" applyBorder="1" applyAlignment="1">
      <alignment horizontal="center" wrapText="1"/>
    </xf>
    <xf numFmtId="0" fontId="24" fillId="6" borderId="21" xfId="0" applyFont="1" applyFill="1" applyBorder="1" applyAlignment="1">
      <alignment vertical="top" wrapText="1"/>
    </xf>
    <xf numFmtId="0" fontId="17" fillId="6" borderId="22" xfId="0" applyNumberFormat="1" applyFont="1" applyFill="1" applyBorder="1" applyAlignment="1">
      <alignment horizontal="right"/>
    </xf>
    <xf numFmtId="0" fontId="15" fillId="6" borderId="23" xfId="0" applyFont="1" applyFill="1" applyBorder="1" applyAlignment="1">
      <alignment vertical="center" wrapText="1"/>
    </xf>
    <xf numFmtId="3" fontId="26" fillId="0" borderId="24" xfId="0" applyNumberFormat="1" applyFont="1" applyBorder="1" applyAlignment="1">
      <alignment horizontal="right" vertical="top" wrapText="1"/>
    </xf>
    <xf numFmtId="0" fontId="15" fillId="6" borderId="25" xfId="0" applyFont="1" applyFill="1" applyBorder="1" applyAlignment="1">
      <alignment vertical="center" wrapText="1"/>
    </xf>
    <xf numFmtId="3" fontId="26" fillId="0" borderId="26" xfId="0" applyNumberFormat="1" applyFont="1" applyBorder="1" applyAlignment="1">
      <alignment horizontal="right" vertical="top" wrapText="1"/>
    </xf>
    <xf numFmtId="0" fontId="16" fillId="6" borderId="27" xfId="0" applyFont="1" applyFill="1" applyBorder="1" applyAlignment="1">
      <alignment vertical="top" wrapText="1"/>
    </xf>
    <xf numFmtId="3" fontId="27" fillId="0" borderId="28" xfId="0" applyNumberFormat="1" applyFont="1" applyBorder="1" applyAlignment="1">
      <alignment horizontal="right" wrapText="1"/>
    </xf>
    <xf numFmtId="0" fontId="16" fillId="7" borderId="29" xfId="0" applyFont="1" applyFill="1" applyBorder="1" applyAlignment="1">
      <alignment vertical="top" wrapText="1"/>
    </xf>
    <xf numFmtId="3" fontId="27" fillId="8" borderId="30" xfId="0" applyNumberFormat="1" applyFont="1" applyFill="1" applyBorder="1" applyAlignment="1">
      <alignment horizontal="right" wrapText="1"/>
    </xf>
    <xf numFmtId="3" fontId="17" fillId="6" borderId="22" xfId="0" applyNumberFormat="1" applyFont="1" applyFill="1" applyBorder="1" applyAlignment="1">
      <alignment horizontal="right"/>
    </xf>
    <xf numFmtId="0" fontId="15" fillId="6" borderId="25" xfId="0" applyFont="1" applyFill="1" applyBorder="1" applyAlignment="1">
      <alignment wrapText="1"/>
    </xf>
    <xf numFmtId="0" fontId="16" fillId="6" borderId="31" xfId="0" applyFont="1" applyFill="1" applyBorder="1" applyAlignment="1">
      <alignment vertical="top" wrapText="1"/>
    </xf>
    <xf numFmtId="3" fontId="27" fillId="0" borderId="32" xfId="0" applyNumberFormat="1" applyFont="1" applyBorder="1" applyAlignment="1">
      <alignment horizontal="right" wrapText="1"/>
    </xf>
    <xf numFmtId="0" fontId="15" fillId="0" borderId="0" xfId="0" applyFont="1" applyAlignment="1">
      <alignment vertical="top" wrapText="1"/>
    </xf>
    <xf numFmtId="3" fontId="17" fillId="9" borderId="0" xfId="0" applyNumberFormat="1" applyFont="1" applyFill="1" applyBorder="1" applyAlignment="1">
      <alignment/>
    </xf>
    <xf numFmtId="0" fontId="28" fillId="9" borderId="33" xfId="0" applyFont="1" applyFill="1" applyBorder="1" applyAlignment="1">
      <alignment vertical="top" wrapText="1"/>
    </xf>
    <xf numFmtId="3" fontId="29" fillId="9" borderId="33" xfId="0" applyNumberFormat="1" applyFont="1" applyFill="1" applyBorder="1" applyAlignment="1">
      <alignment horizontal="right" wrapText="1"/>
    </xf>
    <xf numFmtId="3" fontId="25" fillId="5" borderId="20" xfId="0" applyNumberFormat="1" applyFont="1" applyFill="1" applyBorder="1" applyAlignment="1">
      <alignment horizontal="center" wrapText="1"/>
    </xf>
    <xf numFmtId="0" fontId="16" fillId="6" borderId="31" xfId="0" applyFont="1" applyFill="1" applyBorder="1" applyAlignment="1">
      <alignment wrapText="1"/>
    </xf>
    <xf numFmtId="3" fontId="27" fillId="0" borderId="32" xfId="0" applyNumberFormat="1" applyFont="1" applyBorder="1" applyAlignment="1">
      <alignment horizontal="right" vertical="top" wrapText="1"/>
    </xf>
    <xf numFmtId="0" fontId="17" fillId="0" borderId="0" xfId="0" applyFont="1" applyAlignment="1">
      <alignment wrapText="1"/>
    </xf>
    <xf numFmtId="3" fontId="17" fillId="0" borderId="0" xfId="0" applyNumberFormat="1" applyFont="1" applyAlignment="1">
      <alignment wrapText="1"/>
    </xf>
    <xf numFmtId="0" fontId="17" fillId="0" borderId="0" xfId="0" applyNumberFormat="1" applyFont="1" applyAlignment="1">
      <alignment wrapText="1"/>
    </xf>
    <xf numFmtId="0" fontId="23" fillId="9" borderId="33" xfId="0" applyFont="1" applyFill="1" applyBorder="1" applyAlignment="1">
      <alignment vertical="center" wrapText="1"/>
    </xf>
    <xf numFmtId="0" fontId="17" fillId="9" borderId="0" xfId="0" applyFont="1" applyFill="1" applyBorder="1" applyAlignment="1">
      <alignment/>
    </xf>
    <xf numFmtId="0" fontId="24" fillId="5" borderId="34" xfId="0" applyFont="1" applyFill="1" applyBorder="1" applyAlignment="1">
      <alignment horizontal="right" vertical="center" wrapText="1"/>
    </xf>
    <xf numFmtId="0" fontId="15" fillId="10" borderId="25" xfId="0" applyFont="1" applyFill="1" applyBorder="1" applyAlignment="1">
      <alignment vertical="center" wrapText="1"/>
    </xf>
    <xf numFmtId="0" fontId="16" fillId="10" borderId="25" xfId="0" applyFont="1" applyFill="1" applyBorder="1" applyAlignment="1">
      <alignment vertical="center" wrapText="1"/>
    </xf>
    <xf numFmtId="3" fontId="27" fillId="0" borderId="26" xfId="0" applyNumberFormat="1" applyFont="1" applyBorder="1" applyAlignment="1">
      <alignment horizontal="right" vertical="top" wrapText="1"/>
    </xf>
    <xf numFmtId="0" fontId="16" fillId="10" borderId="31" xfId="0" applyFont="1" applyFill="1" applyBorder="1" applyAlignment="1">
      <alignment vertical="center" wrapText="1"/>
    </xf>
    <xf numFmtId="0" fontId="16" fillId="9" borderId="0" xfId="0" applyFont="1" applyFill="1" applyBorder="1" applyAlignment="1">
      <alignment vertical="top" wrapText="1"/>
    </xf>
    <xf numFmtId="3" fontId="27" fillId="9" borderId="0" xfId="0" applyNumberFormat="1" applyFont="1" applyFill="1" applyBorder="1" applyAlignment="1">
      <alignment horizontal="right" vertical="top" wrapText="1"/>
    </xf>
    <xf numFmtId="0" fontId="30" fillId="4" borderId="0" xfId="0" applyFont="1" applyFill="1" applyBorder="1" applyAlignment="1">
      <alignment vertical="center"/>
    </xf>
    <xf numFmtId="3" fontId="17" fillId="4" borderId="0" xfId="0" applyNumberFormat="1" applyFont="1" applyFill="1" applyAlignment="1">
      <alignment horizontal="center" vertical="top" wrapText="1"/>
    </xf>
    <xf numFmtId="0" fontId="24" fillId="5" borderId="35" xfId="0" applyFont="1" applyFill="1" applyBorder="1" applyAlignment="1">
      <alignment horizontal="right" vertical="center" wrapText="1"/>
    </xf>
    <xf numFmtId="0" fontId="16" fillId="6" borderId="36" xfId="0" applyFont="1" applyFill="1" applyBorder="1" applyAlignment="1">
      <alignment horizontal="left" wrapText="1"/>
    </xf>
    <xf numFmtId="3" fontId="26" fillId="0" borderId="26" xfId="0" applyNumberFormat="1" applyFont="1" applyFill="1" applyBorder="1" applyAlignment="1">
      <alignment horizontal="right" vertical="center" wrapText="1"/>
    </xf>
    <xf numFmtId="0" fontId="15" fillId="6" borderId="36" xfId="0" applyFont="1" applyFill="1" applyBorder="1" applyAlignment="1">
      <alignment horizontal="left" wrapText="1"/>
    </xf>
    <xf numFmtId="0" fontId="26" fillId="6" borderId="36" xfId="0" applyFont="1" applyFill="1" applyBorder="1" applyAlignment="1">
      <alignment horizontal="left" vertical="top" wrapText="1"/>
    </xf>
    <xf numFmtId="0" fontId="15" fillId="6" borderId="36" xfId="0" applyFont="1" applyFill="1" applyBorder="1" applyAlignment="1">
      <alignment wrapText="1"/>
    </xf>
    <xf numFmtId="3" fontId="27" fillId="0" borderId="26" xfId="0" applyNumberFormat="1" applyFont="1" applyFill="1" applyBorder="1" applyAlignment="1">
      <alignment horizontal="right" vertical="center" wrapText="1"/>
    </xf>
    <xf numFmtId="3" fontId="27" fillId="9" borderId="26" xfId="0" applyNumberFormat="1" applyFont="1" applyFill="1" applyBorder="1" applyAlignment="1">
      <alignment horizontal="right" vertical="center" wrapText="1"/>
    </xf>
    <xf numFmtId="3" fontId="27" fillId="0" borderId="26" xfId="0" applyNumberFormat="1" applyFont="1" applyFill="1" applyBorder="1" applyAlignment="1">
      <alignment horizontal="right" vertical="top" wrapText="1"/>
    </xf>
    <xf numFmtId="3" fontId="17" fillId="0" borderId="26" xfId="0" applyNumberFormat="1" applyFont="1" applyBorder="1" applyAlignment="1">
      <alignment horizontal="right" wrapText="1"/>
    </xf>
    <xf numFmtId="3" fontId="17" fillId="0" borderId="26" xfId="0" applyNumberFormat="1" applyFont="1" applyBorder="1" applyAlignment="1">
      <alignment horizontal="right" vertical="top" wrapText="1"/>
    </xf>
    <xf numFmtId="3" fontId="29" fillId="9" borderId="26" xfId="0" applyNumberFormat="1" applyFont="1" applyFill="1" applyBorder="1" applyAlignment="1">
      <alignment horizontal="right" wrapText="1"/>
    </xf>
    <xf numFmtId="3" fontId="19" fillId="0" borderId="26" xfId="0" applyNumberFormat="1" applyFont="1" applyBorder="1" applyAlignment="1">
      <alignment horizontal="right" vertical="top" wrapText="1"/>
    </xf>
    <xf numFmtId="3" fontId="31" fillId="0" borderId="26" xfId="0" applyNumberFormat="1" applyFont="1" applyFill="1" applyBorder="1" applyAlignment="1">
      <alignment horizontal="right" vertical="top" wrapText="1"/>
    </xf>
    <xf numFmtId="3" fontId="27" fillId="0" borderId="26" xfId="0" applyNumberFormat="1" applyFont="1" applyBorder="1" applyAlignment="1">
      <alignment horizontal="right" vertical="center" wrapText="1"/>
    </xf>
    <xf numFmtId="0" fontId="16" fillId="6" borderId="36" xfId="0" applyFont="1" applyFill="1" applyBorder="1" applyAlignment="1">
      <alignment wrapText="1"/>
    </xf>
    <xf numFmtId="3" fontId="26" fillId="0" borderId="26" xfId="0" applyNumberFormat="1" applyFont="1" applyBorder="1" applyAlignment="1">
      <alignment horizontal="right" vertical="center" wrapText="1"/>
    </xf>
    <xf numFmtId="0" fontId="16" fillId="6" borderId="37" xfId="0" applyFont="1" applyFill="1" applyBorder="1" applyAlignment="1">
      <alignment vertical="center" wrapText="1"/>
    </xf>
    <xf numFmtId="3" fontId="27" fillId="0" borderId="32" xfId="0" applyNumberFormat="1" applyFont="1" applyBorder="1" applyAlignment="1">
      <alignment horizontal="right" vertical="center" wrapText="1"/>
    </xf>
    <xf numFmtId="0" fontId="10" fillId="11" borderId="1" xfId="0" applyFont="1" applyFill="1" applyBorder="1" applyAlignment="1">
      <alignment horizontal="center" wrapText="1"/>
    </xf>
    <xf numFmtId="0" fontId="10" fillId="0" borderId="1" xfId="0" applyFont="1" applyBorder="1" applyAlignment="1">
      <alignment horizontal="center" vertical="center"/>
    </xf>
    <xf numFmtId="0" fontId="0" fillId="0" borderId="1" xfId="0" applyBorder="1" applyAlignment="1">
      <alignment vertical="center" wrapText="1"/>
    </xf>
    <xf numFmtId="0" fontId="10" fillId="0" borderId="1" xfId="0" applyFont="1" applyBorder="1" applyAlignment="1">
      <alignment horizontal="center"/>
    </xf>
    <xf numFmtId="0" fontId="0" fillId="0" borderId="1" xfId="0" applyBorder="1" applyAlignment="1">
      <alignment wrapText="1"/>
    </xf>
    <xf numFmtId="0" fontId="0" fillId="0" borderId="1" xfId="0" applyBorder="1" applyAlignment="1">
      <alignment/>
    </xf>
    <xf numFmtId="0" fontId="10" fillId="0" borderId="1" xfId="0" applyFont="1" applyBorder="1" applyAlignment="1">
      <alignment vertical="center" wrapText="1"/>
    </xf>
    <xf numFmtId="4" fontId="10" fillId="0" borderId="1" xfId="0" applyNumberFormat="1" applyFont="1" applyBorder="1" applyAlignment="1">
      <alignment vertical="center"/>
    </xf>
    <xf numFmtId="0" fontId="10" fillId="0" borderId="1" xfId="0" applyFont="1" applyBorder="1" applyAlignment="1">
      <alignment wrapText="1"/>
    </xf>
    <xf numFmtId="4" fontId="10" fillId="0" borderId="1" xfId="0" applyNumberFormat="1" applyFont="1" applyBorder="1" applyAlignment="1">
      <alignment/>
    </xf>
    <xf numFmtId="0" fontId="11" fillId="0" borderId="1" xfId="0" applyFont="1" applyBorder="1" applyAlignment="1">
      <alignment horizontal="center" vertical="center"/>
    </xf>
    <xf numFmtId="4" fontId="0" fillId="0" borderId="1" xfId="0" applyNumberFormat="1" applyBorder="1" applyAlignment="1">
      <alignment vertical="center" wrapText="1"/>
    </xf>
    <xf numFmtId="0" fontId="11" fillId="0" borderId="1" xfId="0" applyFont="1" applyBorder="1" applyAlignment="1">
      <alignment horizontal="center"/>
    </xf>
    <xf numFmtId="4" fontId="0" fillId="0" borderId="1" xfId="0" applyNumberFormat="1" applyBorder="1" applyAlignment="1">
      <alignment/>
    </xf>
    <xf numFmtId="0" fontId="11" fillId="0" borderId="1" xfId="0" applyFont="1" applyBorder="1" applyAlignment="1">
      <alignment horizontal="center"/>
    </xf>
    <xf numFmtId="0" fontId="11" fillId="0" borderId="1" xfId="0" applyFont="1" applyBorder="1" applyAlignment="1">
      <alignment wrapText="1"/>
    </xf>
    <xf numFmtId="4" fontId="11" fillId="0" borderId="1" xfId="0" applyNumberFormat="1" applyFont="1" applyBorder="1" applyAlignment="1">
      <alignment vertical="center"/>
    </xf>
    <xf numFmtId="0" fontId="11" fillId="0" borderId="1" xfId="0" applyFont="1" applyBorder="1" applyAlignment="1">
      <alignment horizontal="left"/>
    </xf>
    <xf numFmtId="4" fontId="11" fillId="0" borderId="1" xfId="0" applyNumberFormat="1" applyFont="1" applyBorder="1" applyAlignment="1">
      <alignment/>
    </xf>
    <xf numFmtId="0" fontId="10" fillId="0" borderId="1" xfId="0" applyFont="1" applyBorder="1" applyAlignment="1">
      <alignment horizontal="center"/>
    </xf>
    <xf numFmtId="4" fontId="10" fillId="0" borderId="1" xfId="0" applyNumberFormat="1" applyFont="1" applyBorder="1" applyAlignment="1">
      <alignment/>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4" fontId="11" fillId="0" borderId="1" xfId="0" applyNumberFormat="1"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vertical="center" wrapText="1"/>
    </xf>
    <xf numFmtId="0" fontId="11" fillId="0" borderId="1" xfId="0" applyFont="1" applyBorder="1" applyAlignment="1">
      <alignment vertical="center" wrapText="1"/>
    </xf>
    <xf numFmtId="4" fontId="11" fillId="0" borderId="1" xfId="0" applyNumberFormat="1" applyFont="1" applyBorder="1" applyAlignment="1">
      <alignment vertical="center" wrapText="1"/>
    </xf>
    <xf numFmtId="4" fontId="10" fillId="0" borderId="1" xfId="0" applyNumberFormat="1" applyFont="1" applyBorder="1" applyAlignment="1">
      <alignment vertical="center" wrapText="1"/>
    </xf>
    <xf numFmtId="0" fontId="11" fillId="0" borderId="1" xfId="0" applyFont="1" applyBorder="1" applyAlignment="1">
      <alignment vertical="center" wrapText="1"/>
    </xf>
    <xf numFmtId="4" fontId="11" fillId="0" borderId="1" xfId="0" applyNumberFormat="1" applyFont="1" applyBorder="1" applyAlignment="1">
      <alignment vertical="center" wrapText="1"/>
    </xf>
    <xf numFmtId="0" fontId="10" fillId="12" borderId="1" xfId="0" applyFont="1" applyFill="1" applyBorder="1" applyAlignment="1">
      <alignment horizontal="center" vertical="center"/>
    </xf>
    <xf numFmtId="0" fontId="14" fillId="12" borderId="1" xfId="0" applyFont="1" applyFill="1" applyBorder="1" applyAlignment="1">
      <alignment horizontal="left" vertical="center" wrapText="1"/>
    </xf>
    <xf numFmtId="4" fontId="10" fillId="12" borderId="1" xfId="0" applyNumberFormat="1" applyFont="1" applyFill="1" applyBorder="1" applyAlignment="1">
      <alignment vertical="center" wrapText="1"/>
    </xf>
    <xf numFmtId="0" fontId="10" fillId="12" borderId="1" xfId="0" applyFont="1" applyFill="1" applyBorder="1" applyAlignment="1">
      <alignment horizontal="center"/>
    </xf>
    <xf numFmtId="0" fontId="14" fillId="12" borderId="1" xfId="0" applyFont="1" applyFill="1" applyBorder="1" applyAlignment="1">
      <alignment wrapText="1"/>
    </xf>
    <xf numFmtId="4" fontId="10" fillId="12" borderId="1" xfId="0" applyNumberFormat="1" applyFont="1" applyFill="1" applyBorder="1" applyAlignment="1">
      <alignment/>
    </xf>
    <xf numFmtId="0" fontId="14" fillId="1" borderId="38" xfId="0" applyFont="1" applyFill="1" applyBorder="1" applyAlignment="1">
      <alignment/>
    </xf>
    <xf numFmtId="0" fontId="32" fillId="1" borderId="38" xfId="0" applyFont="1" applyFill="1" applyBorder="1" applyAlignment="1">
      <alignment horizontal="center" wrapText="1"/>
    </xf>
    <xf numFmtId="0" fontId="33" fillId="1" borderId="38" xfId="0" applyFont="1" applyFill="1" applyBorder="1" applyAlignment="1">
      <alignment horizontal="center" wrapText="1"/>
    </xf>
    <xf numFmtId="0" fontId="10" fillId="0" borderId="1" xfId="0" applyFont="1" applyBorder="1" applyAlignment="1">
      <alignment horizontal="center" vertical="center" wrapText="1"/>
    </xf>
    <xf numFmtId="0" fontId="0" fillId="0" borderId="1" xfId="0" applyBorder="1" applyAlignment="1">
      <alignment horizontal="righ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4" fontId="0" fillId="0" borderId="41" xfId="0" applyNumberForma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right" vertical="center" wrapText="1"/>
    </xf>
    <xf numFmtId="0" fontId="11" fillId="0" borderId="7" xfId="0" applyFont="1" applyBorder="1" applyAlignment="1">
      <alignment horizontal="right" vertical="center" wrapText="1"/>
    </xf>
    <xf numFmtId="0" fontId="11" fillId="0" borderId="7" xfId="0" applyFont="1" applyBorder="1" applyAlignment="1">
      <alignment vertical="center" wrapText="1"/>
    </xf>
    <xf numFmtId="4" fontId="0" fillId="0" borderId="7" xfId="0" applyNumberFormat="1" applyBorder="1" applyAlignment="1">
      <alignment vertical="center" wrapText="1"/>
    </xf>
    <xf numFmtId="0" fontId="14" fillId="1" borderId="38" xfId="0" applyFont="1" applyFill="1" applyBorder="1" applyAlignment="1">
      <alignment horizontal="center" vertical="center" wrapText="1"/>
    </xf>
    <xf numFmtId="0" fontId="14" fillId="1" borderId="38" xfId="0" applyFont="1" applyFill="1" applyBorder="1" applyAlignment="1">
      <alignment vertical="center" wrapText="1"/>
    </xf>
    <xf numFmtId="4" fontId="10" fillId="1" borderId="38" xfId="0" applyNumberFormat="1" applyFont="1" applyFill="1" applyBorder="1" applyAlignment="1">
      <alignment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Border="1" applyAlignment="1">
      <alignment vertical="center" wrapText="1"/>
    </xf>
    <xf numFmtId="4" fontId="11" fillId="0" borderId="7" xfId="0" applyNumberFormat="1" applyFont="1" applyBorder="1" applyAlignment="1">
      <alignment vertical="center" wrapText="1"/>
    </xf>
    <xf numFmtId="0" fontId="14" fillId="0" borderId="0" xfId="0" applyFont="1" applyAlignment="1">
      <alignment horizontal="center"/>
    </xf>
    <xf numFmtId="0" fontId="10" fillId="13" borderId="42" xfId="0" applyFont="1" applyFill="1" applyBorder="1" applyAlignment="1">
      <alignment horizontal="center"/>
    </xf>
    <xf numFmtId="0" fontId="0" fillId="13" borderId="43" xfId="0" applyFill="1" applyBorder="1" applyAlignment="1">
      <alignment horizontal="center"/>
    </xf>
    <xf numFmtId="0" fontId="0" fillId="13" borderId="43" xfId="0" applyFill="1" applyBorder="1" applyAlignment="1">
      <alignment/>
    </xf>
    <xf numFmtId="0" fontId="10" fillId="13" borderId="43" xfId="0" applyFont="1" applyFill="1" applyBorder="1" applyAlignment="1">
      <alignment/>
    </xf>
    <xf numFmtId="4" fontId="10" fillId="13" borderId="44" xfId="0" applyNumberFormat="1" applyFont="1" applyFill="1" applyBorder="1" applyAlignment="1">
      <alignment/>
    </xf>
    <xf numFmtId="0" fontId="10" fillId="0" borderId="45" xfId="0" applyFont="1" applyBorder="1" applyAlignment="1">
      <alignment horizontal="center"/>
    </xf>
    <xf numFmtId="4" fontId="0" fillId="0" borderId="46" xfId="0" applyNumberFormat="1" applyBorder="1" applyAlignment="1">
      <alignment/>
    </xf>
    <xf numFmtId="0" fontId="10" fillId="0" borderId="1" xfId="0" applyFont="1" applyBorder="1" applyAlignment="1">
      <alignment/>
    </xf>
    <xf numFmtId="4" fontId="10" fillId="0" borderId="46" xfId="0" applyNumberFormat="1" applyFont="1" applyBorder="1" applyAlignment="1">
      <alignment/>
    </xf>
    <xf numFmtId="0" fontId="11" fillId="0" borderId="1" xfId="0" applyFont="1" applyBorder="1" applyAlignment="1">
      <alignment/>
    </xf>
    <xf numFmtId="4" fontId="11" fillId="0" borderId="46" xfId="0" applyNumberFormat="1" applyFont="1" applyBorder="1" applyAlignment="1">
      <alignment/>
    </xf>
    <xf numFmtId="0" fontId="10" fillId="13" borderId="47" xfId="0" applyFont="1" applyFill="1" applyBorder="1" applyAlignment="1">
      <alignment horizontal="center"/>
    </xf>
    <xf numFmtId="0" fontId="10" fillId="13" borderId="7" xfId="0" applyFont="1" applyFill="1" applyBorder="1" applyAlignment="1">
      <alignment horizontal="center"/>
    </xf>
    <xf numFmtId="0" fontId="0" fillId="13" borderId="7" xfId="0" applyFill="1" applyBorder="1" applyAlignment="1">
      <alignment/>
    </xf>
    <xf numFmtId="0" fontId="10" fillId="13" borderId="7" xfId="0" applyFont="1" applyFill="1" applyBorder="1" applyAlignment="1">
      <alignment/>
    </xf>
    <xf numFmtId="4" fontId="10" fillId="13" borderId="48" xfId="0" applyNumberFormat="1" applyFont="1" applyFill="1" applyBorder="1" applyAlignment="1">
      <alignment/>
    </xf>
    <xf numFmtId="4" fontId="0" fillId="0" borderId="49" xfId="0" applyNumberFormat="1" applyBorder="1" applyAlignment="1">
      <alignment/>
    </xf>
    <xf numFmtId="0" fontId="10" fillId="0" borderId="1" xfId="0" applyFont="1" applyBorder="1" applyAlignment="1">
      <alignment/>
    </xf>
    <xf numFmtId="0" fontId="11" fillId="0" borderId="1" xfId="0" applyFont="1" applyBorder="1" applyAlignment="1">
      <alignment/>
    </xf>
    <xf numFmtId="0" fontId="10" fillId="0" borderId="50" xfId="0" applyFont="1" applyFill="1" applyBorder="1" applyAlignment="1">
      <alignment horizontal="center"/>
    </xf>
    <xf numFmtId="0" fontId="10" fillId="0" borderId="41" xfId="0" applyFont="1" applyFill="1" applyBorder="1" applyAlignment="1">
      <alignment horizontal="center"/>
    </xf>
    <xf numFmtId="0" fontId="0" fillId="0" borderId="41" xfId="0" applyFill="1" applyBorder="1" applyAlignment="1">
      <alignment/>
    </xf>
    <xf numFmtId="0" fontId="11" fillId="0" borderId="41" xfId="0" applyFont="1" applyFill="1" applyBorder="1" applyAlignment="1">
      <alignment/>
    </xf>
    <xf numFmtId="4" fontId="11" fillId="0" borderId="51" xfId="0" applyNumberFormat="1" applyFont="1" applyFill="1" applyBorder="1" applyAlignment="1">
      <alignment/>
    </xf>
    <xf numFmtId="0" fontId="10" fillId="0" borderId="52" xfId="0" applyFont="1" applyBorder="1" applyAlignment="1">
      <alignment horizontal="center"/>
    </xf>
    <xf numFmtId="0" fontId="10" fillId="0" borderId="53" xfId="0" applyFont="1" applyBorder="1" applyAlignment="1">
      <alignment horizontal="center"/>
    </xf>
    <xf numFmtId="0" fontId="0" fillId="0" borderId="53" xfId="0" applyBorder="1" applyAlignment="1">
      <alignment/>
    </xf>
    <xf numFmtId="4" fontId="0" fillId="0" borderId="54" xfId="0" applyNumberFormat="1" applyBorder="1" applyAlignment="1">
      <alignment/>
    </xf>
    <xf numFmtId="0" fontId="10" fillId="0" borderId="55" xfId="0" applyFont="1" applyBorder="1" applyAlignment="1">
      <alignment horizontal="center"/>
    </xf>
    <xf numFmtId="0" fontId="0" fillId="0" borderId="55" xfId="0" applyBorder="1" applyAlignment="1">
      <alignment/>
    </xf>
    <xf numFmtId="0" fontId="10" fillId="0" borderId="55" xfId="0" applyFont="1" applyBorder="1" applyAlignment="1">
      <alignment/>
    </xf>
    <xf numFmtId="4" fontId="14" fillId="0" borderId="56" xfId="0" applyNumberFormat="1" applyFont="1" applyBorder="1" applyAlignment="1">
      <alignment/>
    </xf>
    <xf numFmtId="0" fontId="10" fillId="0" borderId="0" xfId="0" applyFont="1" applyBorder="1" applyAlignment="1">
      <alignment horizontal="center"/>
    </xf>
    <xf numFmtId="4" fontId="0" fillId="0" borderId="0" xfId="0" applyNumberFormat="1" applyBorder="1" applyAlignment="1">
      <alignment/>
    </xf>
    <xf numFmtId="0" fontId="10" fillId="13" borderId="42" xfId="0" applyFont="1" applyFill="1" applyBorder="1" applyAlignment="1">
      <alignment/>
    </xf>
    <xf numFmtId="0" fontId="0" fillId="0" borderId="45" xfId="0" applyBorder="1" applyAlignment="1">
      <alignment/>
    </xf>
    <xf numFmtId="0" fontId="0" fillId="0" borderId="57" xfId="0" applyFill="1" applyBorder="1" applyAlignment="1">
      <alignment/>
    </xf>
    <xf numFmtId="4" fontId="10" fillId="0" borderId="51" xfId="0" applyNumberFormat="1" applyFont="1" applyFill="1" applyBorder="1" applyAlignment="1">
      <alignment/>
    </xf>
    <xf numFmtId="49" fontId="10" fillId="13" borderId="7" xfId="0" applyNumberFormat="1" applyFont="1" applyFill="1" applyBorder="1" applyAlignment="1">
      <alignment wrapText="1"/>
    </xf>
    <xf numFmtId="0" fontId="11" fillId="0" borderId="45" xfId="0" applyFont="1" applyBorder="1" applyAlignment="1">
      <alignment horizontal="center"/>
    </xf>
    <xf numFmtId="4" fontId="11" fillId="0" borderId="46" xfId="0" applyNumberFormat="1" applyFont="1" applyBorder="1" applyAlignment="1">
      <alignment/>
    </xf>
    <xf numFmtId="0" fontId="10" fillId="13" borderId="7" xfId="0" applyFont="1" applyFill="1" applyBorder="1" applyAlignment="1">
      <alignment wrapText="1"/>
    </xf>
    <xf numFmtId="4" fontId="0" fillId="0" borderId="46" xfId="0" applyNumberFormat="1" applyBorder="1" applyAlignment="1">
      <alignment horizontal="right"/>
    </xf>
    <xf numFmtId="0" fontId="10" fillId="0" borderId="58" xfId="0" applyFont="1" applyBorder="1" applyAlignment="1">
      <alignment horizontal="center"/>
    </xf>
    <xf numFmtId="0" fontId="0" fillId="0" borderId="59" xfId="0" applyBorder="1" applyAlignment="1">
      <alignment/>
    </xf>
    <xf numFmtId="0" fontId="10" fillId="0" borderId="60" xfId="0" applyFont="1" applyBorder="1" applyAlignment="1">
      <alignment horizontal="center"/>
    </xf>
    <xf numFmtId="0" fontId="10" fillId="0" borderId="53" xfId="0" applyFont="1" applyBorder="1" applyAlignment="1">
      <alignment horizontal="left"/>
    </xf>
    <xf numFmtId="4" fontId="34" fillId="4" borderId="61" xfId="0" applyNumberFormat="1" applyFont="1" applyFill="1" applyBorder="1" applyAlignment="1">
      <alignment/>
    </xf>
    <xf numFmtId="4" fontId="10" fillId="4" borderId="62" xfId="0" applyNumberFormat="1" applyFont="1" applyFill="1" applyBorder="1" applyAlignment="1">
      <alignment horizontal="center"/>
    </xf>
    <xf numFmtId="4" fontId="34" fillId="4" borderId="63" xfId="0" applyNumberFormat="1" applyFont="1" applyFill="1" applyBorder="1" applyAlignment="1">
      <alignment horizontal="left"/>
    </xf>
    <xf numFmtId="14" fontId="35" fillId="4" borderId="64" xfId="0" applyNumberFormat="1" applyFont="1" applyFill="1" applyBorder="1" applyAlignment="1">
      <alignment horizontal="center"/>
    </xf>
    <xf numFmtId="4" fontId="36" fillId="4" borderId="0" xfId="0" applyNumberFormat="1" applyFont="1" applyFill="1" applyAlignment="1">
      <alignment/>
    </xf>
    <xf numFmtId="0" fontId="35" fillId="4" borderId="65" xfId="0" applyFont="1" applyFill="1" applyBorder="1" applyAlignment="1">
      <alignment horizontal="center"/>
    </xf>
    <xf numFmtId="4" fontId="0" fillId="0" borderId="0" xfId="0" applyNumberFormat="1" applyAlignment="1">
      <alignment/>
    </xf>
    <xf numFmtId="14" fontId="5" fillId="0" borderId="0" xfId="0" applyNumberFormat="1" applyFont="1" applyAlignment="1">
      <alignment horizontal="center"/>
    </xf>
    <xf numFmtId="0" fontId="10" fillId="0" borderId="0" xfId="0" applyFont="1" applyAlignment="1">
      <alignment/>
    </xf>
    <xf numFmtId="14" fontId="10" fillId="0" borderId="1" xfId="0" applyNumberFormat="1" applyFont="1" applyFill="1" applyBorder="1" applyAlignment="1">
      <alignment horizontal="center" vertical="center"/>
    </xf>
    <xf numFmtId="0" fontId="14" fillId="0" borderId="39" xfId="0" applyFont="1" applyFill="1" applyBorder="1" applyAlignment="1" applyProtection="1">
      <alignment horizontal="left" vertical="center"/>
      <protection hidden="1"/>
    </xf>
    <xf numFmtId="0" fontId="38" fillId="3" borderId="1" xfId="0" applyFont="1" applyFill="1" applyBorder="1" applyAlignment="1" applyProtection="1" quotePrefix="1">
      <alignment horizontal="left" vertical="center"/>
      <protection hidden="1"/>
    </xf>
    <xf numFmtId="4" fontId="33" fillId="3" borderId="1" xfId="0" applyNumberFormat="1" applyFont="1" applyFill="1" applyBorder="1" applyAlignment="1">
      <alignment vertical="center"/>
    </xf>
    <xf numFmtId="0" fontId="10" fillId="3" borderId="66" xfId="0" applyFont="1" applyFill="1" applyBorder="1" applyAlignment="1" applyProtection="1" quotePrefix="1">
      <alignment horizontal="left" vertical="center"/>
      <protection hidden="1"/>
    </xf>
    <xf numFmtId="0" fontId="39" fillId="0" borderId="67" xfId="0" applyFont="1" applyFill="1" applyBorder="1" applyAlignment="1" applyProtection="1" quotePrefix="1">
      <alignment horizontal="left" vertical="center"/>
      <protection hidden="1"/>
    </xf>
    <xf numFmtId="4" fontId="40" fillId="0" borderId="1" xfId="0" applyNumberFormat="1" applyFont="1" applyFill="1" applyBorder="1" applyAlignment="1">
      <alignment vertical="center"/>
    </xf>
    <xf numFmtId="0" fontId="11" fillId="0" borderId="10" xfId="0" applyFont="1" applyFill="1" applyBorder="1" applyAlignment="1" applyProtection="1">
      <alignment horizontal="left" vertical="center"/>
      <protection hidden="1"/>
    </xf>
    <xf numFmtId="0" fontId="11" fillId="0" borderId="10" xfId="0" applyFont="1" applyFill="1" applyBorder="1" applyAlignment="1" applyProtection="1" quotePrefix="1">
      <alignment horizontal="left" vertical="center"/>
      <protection hidden="1"/>
    </xf>
    <xf numFmtId="0" fontId="39" fillId="0" borderId="67" xfId="0" applyFont="1" applyFill="1" applyBorder="1" applyAlignment="1" applyProtection="1">
      <alignment horizontal="left" vertical="center"/>
      <protection hidden="1"/>
    </xf>
    <xf numFmtId="0" fontId="39" fillId="0" borderId="67" xfId="0" applyFont="1" applyFill="1" applyBorder="1" applyAlignment="1" applyProtection="1">
      <alignment vertical="center"/>
      <protection hidden="1"/>
    </xf>
    <xf numFmtId="0" fontId="11" fillId="0" borderId="10" xfId="0" applyFont="1" applyFill="1" applyBorder="1" applyAlignment="1" applyProtection="1">
      <alignment vertical="center"/>
      <protection hidden="1"/>
    </xf>
    <xf numFmtId="0" fontId="10" fillId="3" borderId="10" xfId="0" applyFont="1" applyFill="1" applyBorder="1" applyAlignment="1" applyProtection="1">
      <alignment vertical="center"/>
      <protection hidden="1"/>
    </xf>
    <xf numFmtId="4" fontId="33" fillId="3" borderId="10" xfId="0" applyNumberFormat="1" applyFont="1" applyFill="1" applyBorder="1" applyAlignment="1" applyProtection="1" quotePrefix="1">
      <alignment horizontal="right" vertical="center"/>
      <protection hidden="1"/>
    </xf>
    <xf numFmtId="0" fontId="38" fillId="3" borderId="67" xfId="0" applyFont="1" applyFill="1" applyBorder="1" applyAlignment="1" applyProtection="1" quotePrefix="1">
      <alignment horizontal="left" vertical="center"/>
      <protection hidden="1"/>
    </xf>
    <xf numFmtId="0" fontId="10" fillId="3" borderId="10" xfId="0" applyFont="1" applyFill="1" applyBorder="1" applyAlignment="1" applyProtection="1" quotePrefix="1">
      <alignment horizontal="left" vertical="center"/>
      <protection hidden="1"/>
    </xf>
    <xf numFmtId="0" fontId="10" fillId="3" borderId="10" xfId="0" applyFont="1" applyFill="1" applyBorder="1" applyAlignment="1" applyProtection="1" quotePrefix="1">
      <alignment horizontal="center" vertical="center"/>
      <protection hidden="1"/>
    </xf>
    <xf numFmtId="0" fontId="38" fillId="3" borderId="67" xfId="0" applyFont="1" applyFill="1" applyBorder="1" applyAlignment="1" applyProtection="1" quotePrefix="1">
      <alignment horizontal="center" vertical="center"/>
      <protection hidden="1"/>
    </xf>
    <xf numFmtId="0" fontId="10" fillId="0" borderId="1" xfId="0" applyFont="1" applyBorder="1" applyAlignment="1">
      <alignment horizontal="left"/>
    </xf>
    <xf numFmtId="0" fontId="10" fillId="3" borderId="39" xfId="0" applyFont="1" applyFill="1" applyBorder="1" applyAlignment="1" applyProtection="1" quotePrefix="1">
      <alignment horizontal="left" vertical="center"/>
      <protection hidden="1"/>
    </xf>
    <xf numFmtId="4" fontId="10" fillId="3" borderId="39" xfId="0" applyNumberFormat="1" applyFont="1" applyFill="1" applyBorder="1" applyAlignment="1" applyProtection="1" quotePrefix="1">
      <alignment horizontal="right" vertical="center"/>
      <protection hidden="1"/>
    </xf>
    <xf numFmtId="4" fontId="10" fillId="3" borderId="1" xfId="0" applyNumberFormat="1" applyFont="1" applyFill="1" applyBorder="1" applyAlignment="1" applyProtection="1" quotePrefix="1">
      <alignment horizontal="right" vertical="center"/>
      <protection hidden="1"/>
    </xf>
    <xf numFmtId="0" fontId="40" fillId="0" borderId="39" xfId="0" applyFont="1" applyFill="1" applyBorder="1" applyAlignment="1" applyProtection="1" quotePrefix="1">
      <alignment horizontal="left" vertical="center"/>
      <protection hidden="1"/>
    </xf>
    <xf numFmtId="4" fontId="40" fillId="0" borderId="1" xfId="0" applyNumberFormat="1" applyFont="1" applyBorder="1" applyAlignment="1">
      <alignment/>
    </xf>
    <xf numFmtId="0" fontId="40" fillId="0" borderId="40" xfId="0" applyFont="1" applyFill="1" applyBorder="1" applyAlignment="1" applyProtection="1" quotePrefix="1">
      <alignment horizontal="left" vertical="center"/>
      <protection hidden="1"/>
    </xf>
    <xf numFmtId="0" fontId="40" fillId="0" borderId="40" xfId="0" applyFont="1" applyFill="1" applyBorder="1" applyAlignment="1" applyProtection="1">
      <alignment vertical="center"/>
      <protection hidden="1"/>
    </xf>
    <xf numFmtId="0" fontId="10" fillId="3" borderId="40" xfId="0" applyFont="1" applyFill="1" applyBorder="1" applyAlignment="1" applyProtection="1" quotePrefix="1">
      <alignment horizontal="left" vertical="center"/>
      <protection hidden="1"/>
    </xf>
    <xf numFmtId="166" fontId="10" fillId="3" borderId="1" xfId="0" applyNumberFormat="1" applyFont="1" applyFill="1" applyBorder="1" applyAlignment="1" applyProtection="1" quotePrefix="1">
      <alignment horizontal="right" vertical="center"/>
      <protection hidden="1"/>
    </xf>
    <xf numFmtId="0" fontId="0" fillId="0" borderId="38" xfId="0" applyBorder="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center" vertical="center"/>
    </xf>
    <xf numFmtId="0" fontId="14" fillId="0" borderId="67" xfId="0" applyFont="1" applyBorder="1" applyAlignment="1">
      <alignment vertical="center" wrapText="1"/>
    </xf>
    <xf numFmtId="4" fontId="0" fillId="0" borderId="67" xfId="0" applyNumberFormat="1" applyBorder="1" applyAlignment="1">
      <alignment vertical="center"/>
    </xf>
    <xf numFmtId="4" fontId="10" fillId="0" borderId="1" xfId="0" applyNumberFormat="1" applyFont="1" applyBorder="1" applyAlignment="1">
      <alignment vertical="center"/>
    </xf>
    <xf numFmtId="0" fontId="0" fillId="0" borderId="1" xfId="0" applyBorder="1" applyAlignment="1">
      <alignment horizontal="left" vertical="center" wrapText="1" indent="1"/>
    </xf>
    <xf numFmtId="4" fontId="0" fillId="0" borderId="1" xfId="0" applyNumberFormat="1" applyBorder="1" applyAlignment="1">
      <alignment vertical="center"/>
    </xf>
    <xf numFmtId="0" fontId="35" fillId="0" borderId="1" xfId="0" applyFont="1" applyBorder="1" applyAlignment="1">
      <alignment horizontal="left" vertical="center" wrapText="1" indent="2"/>
    </xf>
    <xf numFmtId="4" fontId="35" fillId="0" borderId="1" xfId="0" applyNumberFormat="1" applyFont="1" applyBorder="1" applyAlignment="1">
      <alignment vertical="center"/>
    </xf>
    <xf numFmtId="0" fontId="35" fillId="0" borderId="41" xfId="0" applyFont="1" applyBorder="1" applyAlignment="1">
      <alignment horizontal="left" vertical="center" wrapText="1" indent="2"/>
    </xf>
    <xf numFmtId="4" fontId="35" fillId="0" borderId="41" xfId="0" applyNumberFormat="1" applyFont="1" applyBorder="1" applyAlignment="1">
      <alignment vertical="center"/>
    </xf>
    <xf numFmtId="4" fontId="0" fillId="0" borderId="40" xfId="0" applyNumberFormat="1" applyBorder="1" applyAlignment="1">
      <alignment vertical="center"/>
    </xf>
    <xf numFmtId="0" fontId="14" fillId="0" borderId="1" xfId="0" applyFont="1" applyBorder="1" applyAlignment="1">
      <alignment vertical="center" wrapText="1"/>
    </xf>
    <xf numFmtId="0" fontId="10" fillId="0" borderId="67" xfId="0" applyFont="1" applyBorder="1" applyAlignment="1">
      <alignment vertical="center" wrapText="1"/>
    </xf>
    <xf numFmtId="4" fontId="10" fillId="0" borderId="67" xfId="0" applyNumberFormat="1" applyFont="1" applyBorder="1" applyAlignment="1">
      <alignment vertical="center"/>
    </xf>
    <xf numFmtId="0" fontId="0" fillId="0" borderId="1" xfId="0" applyFill="1" applyBorder="1" applyAlignment="1">
      <alignment horizontal="left" vertical="center" wrapText="1" indent="1"/>
    </xf>
    <xf numFmtId="4" fontId="0" fillId="0" borderId="1" xfId="0" applyNumberFormat="1" applyFill="1" applyBorder="1" applyAlignment="1">
      <alignment vertical="center"/>
    </xf>
    <xf numFmtId="0" fontId="0" fillId="0" borderId="0" xfId="0" applyAlignment="1">
      <alignment vertical="center" wrapText="1"/>
    </xf>
    <xf numFmtId="4" fontId="0" fillId="0" borderId="0" xfId="0" applyNumberFormat="1" applyAlignment="1">
      <alignment vertical="center"/>
    </xf>
    <xf numFmtId="0" fontId="0" fillId="0" borderId="0" xfId="0" applyAlignment="1">
      <alignment vertical="center"/>
    </xf>
    <xf numFmtId="0" fontId="41" fillId="0" borderId="0" xfId="0" applyFont="1" applyAlignment="1">
      <alignment/>
    </xf>
    <xf numFmtId="0" fontId="12" fillId="0" borderId="0" xfId="0" applyFont="1" applyAlignment="1">
      <alignment/>
    </xf>
    <xf numFmtId="4" fontId="12" fillId="0" borderId="0" xfId="0" applyNumberFormat="1" applyFont="1" applyAlignment="1">
      <alignment horizontal="right"/>
    </xf>
    <xf numFmtId="0" fontId="33" fillId="0" borderId="0" xfId="0" applyFont="1" applyAlignment="1">
      <alignment/>
    </xf>
    <xf numFmtId="0" fontId="42" fillId="0" borderId="0" xfId="0" applyFont="1" applyAlignment="1">
      <alignment/>
    </xf>
    <xf numFmtId="4" fontId="42" fillId="0" borderId="0" xfId="0" applyNumberFormat="1" applyFont="1" applyAlignment="1">
      <alignment horizontal="right"/>
    </xf>
    <xf numFmtId="0" fontId="43" fillId="0" borderId="68" xfId="0" applyFont="1" applyBorder="1" applyAlignment="1">
      <alignment/>
    </xf>
    <xf numFmtId="0" fontId="33" fillId="0" borderId="68" xfId="0" applyFont="1" applyBorder="1" applyAlignment="1">
      <alignment horizontal="centerContinuous"/>
    </xf>
    <xf numFmtId="0" fontId="43" fillId="0" borderId="68" xfId="0" applyFont="1" applyBorder="1" applyAlignment="1">
      <alignment wrapText="1"/>
    </xf>
    <xf numFmtId="4" fontId="33" fillId="0" borderId="69" xfId="0" applyNumberFormat="1" applyFont="1" applyBorder="1" applyAlignment="1">
      <alignment horizontal="center"/>
    </xf>
    <xf numFmtId="0" fontId="43" fillId="0" borderId="1" xfId="0" applyFont="1" applyBorder="1" applyAlignment="1">
      <alignment wrapText="1"/>
    </xf>
    <xf numFmtId="0" fontId="43" fillId="0" borderId="1" xfId="0" applyFont="1" applyBorder="1" applyAlignment="1">
      <alignment vertical="top" wrapText="1"/>
    </xf>
    <xf numFmtId="4" fontId="40" fillId="0" borderId="46" xfId="0" applyNumberFormat="1" applyFont="1" applyBorder="1" applyAlignment="1">
      <alignment horizontal="right"/>
    </xf>
    <xf numFmtId="0" fontId="42" fillId="0" borderId="1" xfId="0" applyFont="1" applyBorder="1" applyAlignment="1">
      <alignment wrapText="1"/>
    </xf>
    <xf numFmtId="0" fontId="42" fillId="0" borderId="1" xfId="0" applyFont="1" applyBorder="1" applyAlignment="1">
      <alignment vertical="top" wrapText="1"/>
    </xf>
    <xf numFmtId="0" fontId="42" fillId="0" borderId="1" xfId="0" applyFont="1" applyBorder="1" applyAlignment="1">
      <alignment horizontal="left" vertical="center" wrapText="1"/>
    </xf>
    <xf numFmtId="0" fontId="42" fillId="0" borderId="1" xfId="0" applyFont="1" applyBorder="1" applyAlignment="1">
      <alignment horizontal="left" vertical="top" wrapText="1"/>
    </xf>
    <xf numFmtId="0" fontId="42" fillId="0" borderId="1" xfId="0" applyFont="1" applyBorder="1" applyAlignment="1">
      <alignment/>
    </xf>
    <xf numFmtId="0" fontId="42" fillId="0" borderId="1" xfId="0" applyFont="1" applyBorder="1" applyAlignment="1">
      <alignment vertical="top" wrapText="1"/>
    </xf>
    <xf numFmtId="0" fontId="43" fillId="0" borderId="1" xfId="0" applyFont="1" applyBorder="1" applyAlignment="1">
      <alignment/>
    </xf>
    <xf numFmtId="0" fontId="43" fillId="0" borderId="1" xfId="0" applyFont="1" applyBorder="1" applyAlignment="1">
      <alignment vertical="top" wrapText="1"/>
    </xf>
    <xf numFmtId="0" fontId="43" fillId="0" borderId="1" xfId="0" applyFont="1" applyBorder="1" applyAlignment="1">
      <alignment/>
    </xf>
    <xf numFmtId="0" fontId="43" fillId="0" borderId="1" xfId="0" applyFont="1" applyBorder="1" applyAlignment="1">
      <alignment vertical="center"/>
    </xf>
    <xf numFmtId="4" fontId="40" fillId="0" borderId="1" xfId="0" applyNumberFormat="1" applyFont="1" applyBorder="1" applyAlignment="1">
      <alignment vertical="center"/>
    </xf>
    <xf numFmtId="0" fontId="43" fillId="0" borderId="53" xfId="0" applyFont="1" applyBorder="1" applyAlignment="1">
      <alignment horizontal="left" vertical="center"/>
    </xf>
    <xf numFmtId="4" fontId="40" fillId="0" borderId="53" xfId="0" applyNumberFormat="1" applyFont="1" applyBorder="1" applyAlignment="1">
      <alignment/>
    </xf>
    <xf numFmtId="0" fontId="43" fillId="0" borderId="53" xfId="0" applyFont="1" applyBorder="1" applyAlignment="1">
      <alignment vertical="center"/>
    </xf>
    <xf numFmtId="4" fontId="40" fillId="0" borderId="54" xfId="0" applyNumberFormat="1" applyFont="1" applyBorder="1" applyAlignment="1">
      <alignment horizontal="right"/>
    </xf>
    <xf numFmtId="0" fontId="0" fillId="0" borderId="70" xfId="0" applyBorder="1" applyAlignment="1">
      <alignment/>
    </xf>
    <xf numFmtId="0" fontId="42" fillId="0" borderId="0" xfId="0" applyFont="1" applyBorder="1" applyAlignment="1">
      <alignment horizontal="left" vertical="center"/>
    </xf>
    <xf numFmtId="4" fontId="42" fillId="0" borderId="0" xfId="0" applyNumberFormat="1" applyFont="1" applyBorder="1" applyAlignment="1">
      <alignment/>
    </xf>
    <xf numFmtId="0" fontId="0" fillId="0" borderId="1" xfId="0" applyBorder="1" applyAlignment="1">
      <alignment horizontal="center"/>
    </xf>
    <xf numFmtId="0" fontId="10" fillId="4" borderId="1" xfId="0" applyFont="1" applyFill="1" applyBorder="1" applyAlignment="1">
      <alignment wrapText="1"/>
    </xf>
    <xf numFmtId="0" fontId="0" fillId="4" borderId="1" xfId="0" applyFill="1" applyBorder="1" applyAlignment="1">
      <alignment wrapText="1"/>
    </xf>
    <xf numFmtId="4" fontId="14" fillId="0" borderId="1" xfId="0" applyNumberFormat="1" applyFont="1" applyBorder="1" applyAlignment="1">
      <alignment/>
    </xf>
    <xf numFmtId="0" fontId="14" fillId="0" borderId="1" xfId="0" applyFont="1" applyBorder="1" applyAlignment="1">
      <alignment/>
    </xf>
    <xf numFmtId="0" fontId="14" fillId="0" borderId="1" xfId="0" applyFont="1" applyBorder="1" applyAlignment="1">
      <alignment wrapText="1"/>
    </xf>
    <xf numFmtId="0" fontId="11" fillId="4" borderId="1" xfId="0" applyFont="1" applyFill="1" applyBorder="1" applyAlignment="1">
      <alignment wrapText="1"/>
    </xf>
    <xf numFmtId="0" fontId="10" fillId="0" borderId="1" xfId="0" applyFont="1" applyBorder="1" applyAlignment="1">
      <alignment horizontal="left"/>
    </xf>
    <xf numFmtId="0" fontId="37" fillId="0" borderId="70" xfId="0" applyFont="1" applyBorder="1" applyAlignment="1">
      <alignment/>
    </xf>
    <xf numFmtId="4" fontId="10" fillId="0" borderId="41" xfId="0" applyNumberFormat="1" applyFont="1" applyBorder="1" applyAlignment="1">
      <alignment/>
    </xf>
    <xf numFmtId="0" fontId="37" fillId="0" borderId="41" xfId="0" applyFont="1" applyBorder="1" applyAlignment="1">
      <alignment/>
    </xf>
    <xf numFmtId="0" fontId="0" fillId="0" borderId="70" xfId="0" applyBorder="1" applyAlignment="1">
      <alignment horizontal="left"/>
    </xf>
    <xf numFmtId="4" fontId="0" fillId="0" borderId="59" xfId="0" applyNumberFormat="1" applyBorder="1" applyAlignment="1">
      <alignment/>
    </xf>
    <xf numFmtId="0" fontId="37" fillId="0" borderId="59" xfId="0" applyFont="1" applyBorder="1" applyAlignment="1">
      <alignment/>
    </xf>
    <xf numFmtId="4" fontId="10" fillId="0" borderId="59" xfId="0" applyNumberFormat="1" applyFont="1" applyBorder="1" applyAlignment="1">
      <alignment/>
    </xf>
    <xf numFmtId="0" fontId="37" fillId="0" borderId="70" xfId="0" applyFont="1" applyBorder="1" applyAlignment="1">
      <alignment/>
    </xf>
    <xf numFmtId="0" fontId="10" fillId="0" borderId="39" xfId="0" applyFont="1" applyBorder="1" applyAlignment="1">
      <alignment/>
    </xf>
    <xf numFmtId="0" fontId="0" fillId="0" borderId="71" xfId="0" applyBorder="1" applyAlignment="1">
      <alignment/>
    </xf>
    <xf numFmtId="4" fontId="0" fillId="0" borderId="67" xfId="0" applyNumberFormat="1" applyBorder="1" applyAlignment="1">
      <alignment/>
    </xf>
    <xf numFmtId="0" fontId="10" fillId="0" borderId="72" xfId="0" applyFont="1" applyBorder="1" applyAlignment="1">
      <alignment/>
    </xf>
    <xf numFmtId="0" fontId="0" fillId="0" borderId="41" xfId="0" applyBorder="1" applyAlignment="1">
      <alignment/>
    </xf>
    <xf numFmtId="0" fontId="14" fillId="0" borderId="1" xfId="0" applyFont="1" applyBorder="1" applyAlignment="1">
      <alignment horizontal="left"/>
    </xf>
    <xf numFmtId="0" fontId="37" fillId="0" borderId="1" xfId="0" applyFont="1" applyBorder="1" applyAlignment="1">
      <alignment/>
    </xf>
    <xf numFmtId="0" fontId="37" fillId="0" borderId="1" xfId="0" applyFont="1" applyBorder="1" applyAlignment="1">
      <alignment wrapText="1"/>
    </xf>
    <xf numFmtId="0" fontId="0" fillId="0" borderId="70" xfId="0" applyBorder="1" applyAlignment="1">
      <alignment horizontal="left" wrapText="1"/>
    </xf>
    <xf numFmtId="0" fontId="0" fillId="0" borderId="59" xfId="0" applyBorder="1" applyAlignment="1">
      <alignment wrapText="1"/>
    </xf>
    <xf numFmtId="0" fontId="37" fillId="0" borderId="1" xfId="0" applyFont="1" applyBorder="1" applyAlignment="1">
      <alignment/>
    </xf>
    <xf numFmtId="0" fontId="0" fillId="0" borderId="70" xfId="0" applyBorder="1" applyAlignment="1">
      <alignment wrapText="1"/>
    </xf>
    <xf numFmtId="0" fontId="37" fillId="0" borderId="59" xfId="0" applyFont="1" applyBorder="1" applyAlignment="1">
      <alignment wrapText="1"/>
    </xf>
    <xf numFmtId="4" fontId="10" fillId="0" borderId="39" xfId="0" applyNumberFormat="1" applyFont="1" applyBorder="1" applyAlignment="1">
      <alignment/>
    </xf>
    <xf numFmtId="0" fontId="0" fillId="0" borderId="72" xfId="0" applyBorder="1" applyAlignment="1">
      <alignment wrapText="1"/>
    </xf>
    <xf numFmtId="0" fontId="0" fillId="0" borderId="73" xfId="0" applyBorder="1" applyAlignment="1">
      <alignment/>
    </xf>
    <xf numFmtId="0" fontId="10" fillId="0" borderId="70" xfId="0" applyFont="1" applyBorder="1" applyAlignment="1">
      <alignment wrapText="1"/>
    </xf>
    <xf numFmtId="4" fontId="0" fillId="0" borderId="71" xfId="0" applyNumberFormat="1" applyBorder="1" applyAlignment="1">
      <alignment/>
    </xf>
    <xf numFmtId="4" fontId="10" fillId="0" borderId="71" xfId="0" applyNumberFormat="1" applyFont="1" applyBorder="1" applyAlignment="1">
      <alignment/>
    </xf>
    <xf numFmtId="4" fontId="0" fillId="0" borderId="70" xfId="0" applyNumberFormat="1" applyBorder="1" applyAlignment="1">
      <alignment/>
    </xf>
    <xf numFmtId="0" fontId="0" fillId="0" borderId="74" xfId="0" applyBorder="1" applyAlignment="1">
      <alignment wrapText="1"/>
    </xf>
    <xf numFmtId="4" fontId="0" fillId="0" borderId="10" xfId="0" applyNumberFormat="1" applyBorder="1" applyAlignment="1">
      <alignment/>
    </xf>
    <xf numFmtId="0" fontId="14" fillId="0" borderId="1" xfId="0" applyFont="1" applyBorder="1" applyAlignment="1">
      <alignment horizontal="center" vertical="center"/>
    </xf>
    <xf numFmtId="4" fontId="44" fillId="0" borderId="1" xfId="0" applyNumberFormat="1" applyFont="1" applyBorder="1" applyAlignment="1">
      <alignment horizontal="center" vertical="center" wrapText="1"/>
    </xf>
    <xf numFmtId="4" fontId="44" fillId="0" borderId="1" xfId="0" applyNumberFormat="1" applyFont="1" applyBorder="1" applyAlignment="1">
      <alignment horizontal="center" wrapText="1"/>
    </xf>
    <xf numFmtId="0" fontId="44" fillId="0" borderId="1" xfId="0" applyFont="1" applyBorder="1" applyAlignment="1">
      <alignment/>
    </xf>
    <xf numFmtId="4" fontId="44" fillId="0" borderId="1" xfId="0" applyNumberFormat="1" applyFont="1" applyBorder="1" applyAlignment="1">
      <alignment/>
    </xf>
    <xf numFmtId="0" fontId="44" fillId="0" borderId="1" xfId="0" applyFont="1" applyBorder="1" applyAlignment="1">
      <alignment horizontal="left" vertical="center" wrapText="1"/>
    </xf>
    <xf numFmtId="0" fontId="44" fillId="0" borderId="1" xfId="0" applyFont="1" applyBorder="1" applyAlignment="1">
      <alignment horizontal="left"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46" fillId="0" borderId="75" xfId="0" applyFont="1" applyBorder="1" applyAlignment="1">
      <alignment/>
    </xf>
    <xf numFmtId="0" fontId="47" fillId="0" borderId="75" xfId="0" applyFont="1" applyBorder="1" applyAlignment="1">
      <alignment/>
    </xf>
    <xf numFmtId="4" fontId="46" fillId="0" borderId="75" xfId="0" applyNumberFormat="1" applyFont="1" applyBorder="1" applyAlignment="1">
      <alignment/>
    </xf>
    <xf numFmtId="0" fontId="46" fillId="0" borderId="75" xfId="0" applyFont="1" applyBorder="1" applyAlignment="1">
      <alignment horizontal="center"/>
    </xf>
    <xf numFmtId="0" fontId="46" fillId="0" borderId="0" xfId="0" applyFont="1" applyBorder="1" applyAlignment="1">
      <alignment/>
    </xf>
    <xf numFmtId="0" fontId="46" fillId="0" borderId="0" xfId="0" applyFont="1" applyAlignment="1">
      <alignment/>
    </xf>
    <xf numFmtId="4" fontId="46" fillId="0" borderId="0" xfId="0" applyNumberFormat="1" applyFont="1" applyAlignment="1">
      <alignment/>
    </xf>
    <xf numFmtId="0" fontId="0" fillId="0" borderId="39" xfId="0" applyBorder="1" applyAlignment="1">
      <alignment/>
    </xf>
    <xf numFmtId="0" fontId="0" fillId="0" borderId="40" xfId="0" applyBorder="1" applyAlignment="1">
      <alignment/>
    </xf>
    <xf numFmtId="0" fontId="0" fillId="0" borderId="66" xfId="0" applyBorder="1" applyAlignment="1">
      <alignment/>
    </xf>
    <xf numFmtId="0" fontId="34" fillId="14" borderId="1" xfId="0" applyFont="1" applyFill="1" applyBorder="1" applyAlignment="1">
      <alignment/>
    </xf>
    <xf numFmtId="4" fontId="34" fillId="14" borderId="1" xfId="0" applyNumberFormat="1" applyFont="1" applyFill="1" applyBorder="1" applyAlignment="1">
      <alignment horizontal="center"/>
    </xf>
    <xf numFmtId="4" fontId="34" fillId="14" borderId="1" xfId="0" applyNumberFormat="1" applyFont="1" applyFill="1" applyBorder="1" applyAlignment="1">
      <alignment wrapText="1"/>
    </xf>
    <xf numFmtId="0" fontId="46" fillId="0" borderId="1" xfId="0" applyFont="1" applyBorder="1" applyAlignment="1">
      <alignment/>
    </xf>
    <xf numFmtId="4" fontId="46" fillId="0" borderId="1" xfId="0" applyNumberFormat="1" applyFont="1" applyBorder="1" applyAlignment="1">
      <alignment/>
    </xf>
    <xf numFmtId="0" fontId="32" fillId="14" borderId="1" xfId="0" applyFont="1" applyFill="1" applyBorder="1" applyAlignment="1">
      <alignment/>
    </xf>
    <xf numFmtId="0" fontId="32" fillId="0" borderId="1" xfId="0" applyFont="1" applyBorder="1" applyAlignment="1">
      <alignment/>
    </xf>
    <xf numFmtId="4" fontId="32" fillId="0" borderId="1" xfId="0" applyNumberFormat="1" applyFont="1" applyBorder="1" applyAlignment="1">
      <alignment/>
    </xf>
    <xf numFmtId="0" fontId="46" fillId="4" borderId="1" xfId="0" applyFont="1" applyFill="1" applyBorder="1" applyAlignment="1">
      <alignment/>
    </xf>
    <xf numFmtId="4" fontId="32" fillId="4" borderId="1" xfId="0" applyNumberFormat="1" applyFont="1" applyFill="1" applyBorder="1" applyAlignment="1">
      <alignment/>
    </xf>
    <xf numFmtId="4" fontId="32" fillId="2" borderId="1" xfId="0" applyNumberFormat="1" applyFont="1" applyFill="1" applyBorder="1" applyAlignment="1">
      <alignment/>
    </xf>
    <xf numFmtId="4" fontId="32" fillId="0" borderId="55" xfId="0" applyNumberFormat="1" applyFont="1" applyBorder="1" applyAlignment="1">
      <alignment/>
    </xf>
    <xf numFmtId="4" fontId="46" fillId="0" borderId="10" xfId="0" applyNumberFormat="1" applyFont="1" applyBorder="1" applyAlignment="1">
      <alignment/>
    </xf>
    <xf numFmtId="4" fontId="46" fillId="0" borderId="66" xfId="0" applyNumberFormat="1" applyFont="1" applyBorder="1" applyAlignment="1">
      <alignment/>
    </xf>
    <xf numFmtId="0" fontId="0" fillId="2" borderId="1" xfId="0" applyFill="1" applyBorder="1" applyAlignment="1">
      <alignment/>
    </xf>
    <xf numFmtId="0" fontId="10" fillId="0" borderId="76" xfId="0" applyFont="1" applyBorder="1" applyAlignment="1">
      <alignment/>
    </xf>
    <xf numFmtId="14" fontId="10" fillId="0" borderId="0" xfId="0" applyNumberFormat="1" applyFont="1" applyAlignment="1">
      <alignment/>
    </xf>
    <xf numFmtId="0" fontId="0" fillId="0" borderId="76" xfId="0" applyBorder="1" applyAlignment="1">
      <alignment/>
    </xf>
    <xf numFmtId="4" fontId="10" fillId="0" borderId="76" xfId="0" applyNumberFormat="1" applyFont="1" applyBorder="1" applyAlignment="1">
      <alignment/>
    </xf>
    <xf numFmtId="4" fontId="0" fillId="0" borderId="0" xfId="0" applyNumberFormat="1" applyAlignment="1">
      <alignment horizontal="center"/>
    </xf>
    <xf numFmtId="4" fontId="10" fillId="0" borderId="0" xfId="0" applyNumberFormat="1" applyFont="1" applyAlignment="1">
      <alignment/>
    </xf>
    <xf numFmtId="4" fontId="0" fillId="0" borderId="76" xfId="0" applyNumberFormat="1" applyBorder="1" applyAlignment="1">
      <alignment/>
    </xf>
    <xf numFmtId="4" fontId="0" fillId="0" borderId="76" xfId="0" applyNumberFormat="1" applyBorder="1" applyAlignment="1">
      <alignment horizontal="center"/>
    </xf>
    <xf numFmtId="0" fontId="19" fillId="0" borderId="0" xfId="0" applyFont="1" applyAlignment="1">
      <alignment horizontal="center" wrapText="1"/>
    </xf>
    <xf numFmtId="0" fontId="19" fillId="9" borderId="0" xfId="0" applyNumberFormat="1" applyFont="1" applyFill="1" applyBorder="1" applyAlignment="1">
      <alignment horizontal="center"/>
    </xf>
    <xf numFmtId="0" fontId="33" fillId="0" borderId="0" xfId="0" applyFont="1" applyAlignment="1">
      <alignment horizontal="center"/>
    </xf>
    <xf numFmtId="0" fontId="8" fillId="0" borderId="0" xfId="0" applyFont="1" applyFill="1" applyBorder="1" applyAlignment="1" applyProtection="1">
      <alignment horizontal="center" vertical="center"/>
      <protection/>
    </xf>
    <xf numFmtId="0" fontId="13" fillId="0" borderId="0" xfId="0" applyFont="1" applyAlignment="1" applyProtection="1">
      <alignment horizontal="left" vertical="top" wrapText="1"/>
      <protection/>
    </xf>
    <xf numFmtId="0" fontId="0" fillId="0" borderId="77" xfId="0" applyBorder="1" applyAlignment="1">
      <alignment/>
    </xf>
    <xf numFmtId="43" fontId="0" fillId="0" borderId="78" xfId="15" applyBorder="1" applyAlignment="1">
      <alignment/>
    </xf>
    <xf numFmtId="43" fontId="0" fillId="0" borderId="49" xfId="15" applyBorder="1" applyAlignment="1">
      <alignment/>
    </xf>
    <xf numFmtId="0" fontId="10" fillId="0" borderId="0" xfId="0" applyFont="1" applyBorder="1" applyAlignment="1">
      <alignment/>
    </xf>
    <xf numFmtId="43" fontId="10" fillId="0" borderId="49" xfId="15" applyFont="1" applyBorder="1" applyAlignment="1">
      <alignment/>
    </xf>
    <xf numFmtId="0" fontId="10" fillId="0" borderId="79" xfId="0" applyFont="1" applyBorder="1" applyAlignment="1">
      <alignment/>
    </xf>
    <xf numFmtId="43" fontId="10" fillId="0" borderId="80" xfId="15" applyFont="1" applyBorder="1" applyAlignment="1">
      <alignment/>
    </xf>
    <xf numFmtId="0" fontId="45" fillId="0" borderId="0" xfId="0" applyFont="1" applyAlignment="1">
      <alignment/>
    </xf>
    <xf numFmtId="0" fontId="41" fillId="0" borderId="0" xfId="0" applyFont="1" applyAlignment="1">
      <alignment/>
    </xf>
    <xf numFmtId="0" fontId="3" fillId="2" borderId="0" xfId="0" applyFont="1" applyFill="1" applyBorder="1" applyAlignment="1" applyProtection="1">
      <alignment horizontal="center" vertical="center" wrapText="1"/>
      <protection/>
    </xf>
    <xf numFmtId="0" fontId="13" fillId="0" borderId="2" xfId="0" applyFont="1" applyBorder="1" applyAlignment="1" applyProtection="1">
      <alignment horizontal="center" vertical="center" wrapText="1"/>
      <protection hidden="1"/>
    </xf>
    <xf numFmtId="0" fontId="12" fillId="0" borderId="12" xfId="0" applyFont="1" applyBorder="1" applyAlignment="1" applyProtection="1">
      <alignment vertical="center" wrapText="1"/>
      <protection hidden="1"/>
    </xf>
    <xf numFmtId="0" fontId="12" fillId="0" borderId="81"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45" fillId="0" borderId="39" xfId="0" applyFont="1" applyBorder="1" applyAlignment="1">
      <alignment horizontal="center"/>
    </xf>
    <xf numFmtId="0" fontId="45" fillId="0" borderId="40" xfId="0" applyFont="1" applyBorder="1" applyAlignment="1">
      <alignment horizontal="center"/>
    </xf>
    <xf numFmtId="0" fontId="45" fillId="0" borderId="66" xfId="0" applyFont="1" applyBorder="1" applyAlignment="1">
      <alignment horizontal="center"/>
    </xf>
    <xf numFmtId="0" fontId="10" fillId="0" borderId="74" xfId="0" applyFont="1" applyBorder="1" applyAlignment="1">
      <alignment horizontal="center"/>
    </xf>
    <xf numFmtId="0" fontId="10" fillId="0" borderId="76" xfId="0" applyFont="1" applyBorder="1" applyAlignment="1">
      <alignment horizontal="center"/>
    </xf>
    <xf numFmtId="0" fontId="10" fillId="0" borderId="10"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76</xdr:row>
      <xdr:rowOff>0</xdr:rowOff>
    </xdr:from>
    <xdr:to>
      <xdr:col>0</xdr:col>
      <xdr:colOff>2352675</xdr:colOff>
      <xdr:row>76</xdr:row>
      <xdr:rowOff>0</xdr:rowOff>
    </xdr:to>
    <xdr:sp>
      <xdr:nvSpPr>
        <xdr:cNvPr id="1" name="Tekst 12"/>
        <xdr:cNvSpPr txBox="1">
          <a:spLocks noChangeArrowheads="1"/>
        </xdr:cNvSpPr>
      </xdr:nvSpPr>
      <xdr:spPr>
        <a:xfrm>
          <a:off x="428625" y="13449300"/>
          <a:ext cx="1924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Podpisy wszystkich Członków Zarządu
data......................         ..........................
data......................         ..........................
data......................         ..........................
data......................         ..........................
data......................         ..........................
</a:t>
          </a:r>
        </a:p>
      </xdr:txBody>
    </xdr:sp>
    <xdr:clientData/>
  </xdr:twoCellAnchor>
  <xdr:twoCellAnchor>
    <xdr:from>
      <xdr:col>0</xdr:col>
      <xdr:colOff>3171825</xdr:colOff>
      <xdr:row>76</xdr:row>
      <xdr:rowOff>0</xdr:rowOff>
    </xdr:from>
    <xdr:to>
      <xdr:col>1</xdr:col>
      <xdr:colOff>295275</xdr:colOff>
      <xdr:row>76</xdr:row>
      <xdr:rowOff>0</xdr:rowOff>
    </xdr:to>
    <xdr:sp>
      <xdr:nvSpPr>
        <xdr:cNvPr id="2" name="Tekst 13"/>
        <xdr:cNvSpPr txBox="1">
          <a:spLocks noChangeArrowheads="1"/>
        </xdr:cNvSpPr>
      </xdr:nvSpPr>
      <xdr:spPr>
        <a:xfrm>
          <a:off x="3171825" y="13449300"/>
          <a:ext cx="7715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Podpis osoby, której powierzono prowadzenie ksiąg rachunkowych
data........................        .........................
</a:t>
          </a:r>
        </a:p>
      </xdr:txBody>
    </xdr:sp>
    <xdr:clientData/>
  </xdr:twoCellAnchor>
  <xdr:twoCellAnchor>
    <xdr:from>
      <xdr:col>0</xdr:col>
      <xdr:colOff>28575</xdr:colOff>
      <xdr:row>76</xdr:row>
      <xdr:rowOff>0</xdr:rowOff>
    </xdr:from>
    <xdr:to>
      <xdr:col>1</xdr:col>
      <xdr:colOff>723900</xdr:colOff>
      <xdr:row>76</xdr:row>
      <xdr:rowOff>0</xdr:rowOff>
    </xdr:to>
    <xdr:sp>
      <xdr:nvSpPr>
        <xdr:cNvPr id="3" name="Tekst 14"/>
        <xdr:cNvSpPr txBox="1">
          <a:spLocks noChangeArrowheads="1"/>
        </xdr:cNvSpPr>
      </xdr:nvSpPr>
      <xdr:spPr>
        <a:xfrm>
          <a:off x="28575" y="13449300"/>
          <a:ext cx="4343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Przy odpowiednich pozycjach aktywów należy przedstawić informację o obciążeniach majątku o charakterze prawnorzeczowym i obligacyjnym</a:t>
          </a:r>
        </a:p>
      </xdr:txBody>
    </xdr:sp>
    <xdr:clientData/>
  </xdr:twoCellAnchor>
  <xdr:twoCellAnchor>
    <xdr:from>
      <xdr:col>0</xdr:col>
      <xdr:colOff>28575</xdr:colOff>
      <xdr:row>76</xdr:row>
      <xdr:rowOff>0</xdr:rowOff>
    </xdr:from>
    <xdr:to>
      <xdr:col>2</xdr:col>
      <xdr:colOff>0</xdr:colOff>
      <xdr:row>76</xdr:row>
      <xdr:rowOff>0</xdr:rowOff>
    </xdr:to>
    <xdr:sp>
      <xdr:nvSpPr>
        <xdr:cNvPr id="4" name="Tekst 15"/>
        <xdr:cNvSpPr txBox="1">
          <a:spLocks noChangeArrowheads="1"/>
        </xdr:cNvSpPr>
      </xdr:nvSpPr>
      <xdr:spPr>
        <a:xfrm>
          <a:off x="28575" y="13449300"/>
          <a:ext cx="4343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Jeżeli kwoty należności zagrożonych stanowią powyżej 10% sumy bilansowej należy szczegółowo przedstawić występujące w księgach rachunkowych banku - należności z tytułu niedoborów i szkód, należności sporne i inne, które na podstawie dokonanej inwentaryzacji (weryfikacji) i oceny będą trudne do odzyskania - spłaty, podając w szczególności:
- wysokość należności w poszczególnych grupach rodzajowych,
- wysokość utworzonych rezerw w poszczególnych grupach rodzajowych,
- informacje z zakresu ustalonego w banku trybu postępowania w przedmiocie rozliczenia tych należności.
</a:t>
          </a:r>
        </a:p>
      </xdr:txBody>
    </xdr:sp>
    <xdr:clientData/>
  </xdr:twoCellAnchor>
  <xdr:twoCellAnchor>
    <xdr:from>
      <xdr:col>0</xdr:col>
      <xdr:colOff>28575</xdr:colOff>
      <xdr:row>76</xdr:row>
      <xdr:rowOff>0</xdr:rowOff>
    </xdr:from>
    <xdr:to>
      <xdr:col>2</xdr:col>
      <xdr:colOff>0</xdr:colOff>
      <xdr:row>76</xdr:row>
      <xdr:rowOff>0</xdr:rowOff>
    </xdr:to>
    <xdr:sp>
      <xdr:nvSpPr>
        <xdr:cNvPr id="5" name="Tekst 17"/>
        <xdr:cNvSpPr txBox="1">
          <a:spLocks noChangeArrowheads="1"/>
        </xdr:cNvSpPr>
      </xdr:nvSpPr>
      <xdr:spPr>
        <a:xfrm>
          <a:off x="28575" y="13449300"/>
          <a:ext cx="4343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Należy podać wysokość i wyjaśnić przyczyny nieplanowych odpisów amortyzacyjnych (umorzeniowych).</a:t>
          </a:r>
        </a:p>
      </xdr:txBody>
    </xdr:sp>
    <xdr:clientData/>
  </xdr:twoCellAnchor>
  <xdr:twoCellAnchor>
    <xdr:from>
      <xdr:col>0</xdr:col>
      <xdr:colOff>28575</xdr:colOff>
      <xdr:row>76</xdr:row>
      <xdr:rowOff>0</xdr:rowOff>
    </xdr:from>
    <xdr:to>
      <xdr:col>2</xdr:col>
      <xdr:colOff>0</xdr:colOff>
      <xdr:row>76</xdr:row>
      <xdr:rowOff>0</xdr:rowOff>
    </xdr:to>
    <xdr:sp>
      <xdr:nvSpPr>
        <xdr:cNvPr id="6" name="Tekst 18"/>
        <xdr:cNvSpPr txBox="1">
          <a:spLocks noChangeArrowheads="1"/>
        </xdr:cNvSpPr>
      </xdr:nvSpPr>
      <xdr:spPr>
        <a:xfrm>
          <a:off x="28575" y="13449300"/>
          <a:ext cx="4343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Należy podać wysokość i wyjaśnienie przyczyn nieplanowych odpisów amortyzacyjnych (umorzeniowych) środków trwałych.</a:t>
          </a:r>
        </a:p>
      </xdr:txBody>
    </xdr:sp>
    <xdr:clientData/>
  </xdr:twoCellAnchor>
  <xdr:twoCellAnchor>
    <xdr:from>
      <xdr:col>0</xdr:col>
      <xdr:colOff>28575</xdr:colOff>
      <xdr:row>76</xdr:row>
      <xdr:rowOff>0</xdr:rowOff>
    </xdr:from>
    <xdr:to>
      <xdr:col>2</xdr:col>
      <xdr:colOff>0</xdr:colOff>
      <xdr:row>76</xdr:row>
      <xdr:rowOff>0</xdr:rowOff>
    </xdr:to>
    <xdr:sp>
      <xdr:nvSpPr>
        <xdr:cNvPr id="7" name="Tekst 19"/>
        <xdr:cNvSpPr txBox="1">
          <a:spLocks noChangeArrowheads="1"/>
        </xdr:cNvSpPr>
      </xdr:nvSpPr>
      <xdr:spPr>
        <a:xfrm>
          <a:off x="28575" y="13449300"/>
          <a:ext cx="4343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Ponadto należy przedstawić wykaz grup zobowiązań zabezpieczonych na majątku emitenta (ze wskazaniem  ich rodzaju)</a:t>
          </a:r>
        </a:p>
      </xdr:txBody>
    </xdr:sp>
    <xdr:clientData/>
  </xdr:twoCellAnchor>
  <xdr:twoCellAnchor>
    <xdr:from>
      <xdr:col>0</xdr:col>
      <xdr:colOff>28575</xdr:colOff>
      <xdr:row>76</xdr:row>
      <xdr:rowOff>0</xdr:rowOff>
    </xdr:from>
    <xdr:to>
      <xdr:col>2</xdr:col>
      <xdr:colOff>0</xdr:colOff>
      <xdr:row>76</xdr:row>
      <xdr:rowOff>0</xdr:rowOff>
    </xdr:to>
    <xdr:sp>
      <xdr:nvSpPr>
        <xdr:cNvPr id="8" name="Tekst 20"/>
        <xdr:cNvSpPr txBox="1">
          <a:spLocks noChangeArrowheads="1"/>
        </xdr:cNvSpPr>
      </xdr:nvSpPr>
      <xdr:spPr>
        <a:xfrm>
          <a:off x="28575" y="13449300"/>
          <a:ext cx="4343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Ponadto należy przedstawić informacje o wszelkich zmianach w kapitale akcyjnym w okresie sprawozdawczym, w szczególności o:
    - liczbie, rodzaju, wartości nominalnej, cenie emisyjnej oferowanych akcji
    - zmianach wartości nominalnej akcji
    - zmianach praw z akcji
oraz należy wskazać akcjonariuszy posiadających bezpośrednio lub pośrednio przez jednostki zależne co najmniej 5% kapitału akcyjnego emitenta lub co najmniej 5% ogólnej liczby głosów w walnym zgromadzeniu akcjonariuszy
</a:t>
          </a:r>
        </a:p>
      </xdr:txBody>
    </xdr:sp>
    <xdr:clientData/>
  </xdr:twoCellAnchor>
  <xdr:twoCellAnchor>
    <xdr:from>
      <xdr:col>0</xdr:col>
      <xdr:colOff>28575</xdr:colOff>
      <xdr:row>76</xdr:row>
      <xdr:rowOff>0</xdr:rowOff>
    </xdr:from>
    <xdr:to>
      <xdr:col>2</xdr:col>
      <xdr:colOff>0</xdr:colOff>
      <xdr:row>76</xdr:row>
      <xdr:rowOff>0</xdr:rowOff>
    </xdr:to>
    <xdr:sp>
      <xdr:nvSpPr>
        <xdr:cNvPr id="9" name="Tekst 21"/>
        <xdr:cNvSpPr txBox="1">
          <a:spLocks noChangeArrowheads="1"/>
        </xdr:cNvSpPr>
      </xdr:nvSpPr>
      <xdr:spPr>
        <a:xfrm>
          <a:off x="28575" y="13449300"/>
          <a:ext cx="4343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Należy przedstawić dane liczbowe do obliczenia współczynnika wypłacalności, ze wskazaniem tych funduszy, które zostały zaliczone do funduszy własnych, w układzie umożliwiającym ustalenie wartości poszczególnych kategorii funduszy.</a:t>
          </a:r>
        </a:p>
      </xdr:txBody>
    </xdr:sp>
    <xdr:clientData/>
  </xdr:twoCellAnchor>
  <xdr:twoCellAnchor>
    <xdr:from>
      <xdr:col>0</xdr:col>
      <xdr:colOff>28575</xdr:colOff>
      <xdr:row>76</xdr:row>
      <xdr:rowOff>0</xdr:rowOff>
    </xdr:from>
    <xdr:to>
      <xdr:col>2</xdr:col>
      <xdr:colOff>0</xdr:colOff>
      <xdr:row>76</xdr:row>
      <xdr:rowOff>0</xdr:rowOff>
    </xdr:to>
    <xdr:sp>
      <xdr:nvSpPr>
        <xdr:cNvPr id="10" name="Tekst 22"/>
        <xdr:cNvSpPr txBox="1">
          <a:spLocks noChangeArrowheads="1"/>
        </xdr:cNvSpPr>
      </xdr:nvSpPr>
      <xdr:spPr>
        <a:xfrm>
          <a:off x="28575" y="13449300"/>
          <a:ext cx="4343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Należy przedstawić dodatkowe dane objaśniające sposób obliczenia wartości księgowej na jedną akcję oraz rozwodnionej wartości księgowej na jedną akcję.</a:t>
          </a:r>
        </a:p>
      </xdr:txBody>
    </xdr:sp>
    <xdr:clientData/>
  </xdr:twoCellAnchor>
  <xdr:twoCellAnchor>
    <xdr:from>
      <xdr:col>0</xdr:col>
      <xdr:colOff>28575</xdr:colOff>
      <xdr:row>76</xdr:row>
      <xdr:rowOff>0</xdr:rowOff>
    </xdr:from>
    <xdr:to>
      <xdr:col>2</xdr:col>
      <xdr:colOff>0</xdr:colOff>
      <xdr:row>76</xdr:row>
      <xdr:rowOff>0</xdr:rowOff>
    </xdr:to>
    <xdr:sp>
      <xdr:nvSpPr>
        <xdr:cNvPr id="11" name="Tekst 23"/>
        <xdr:cNvSpPr txBox="1">
          <a:spLocks noChangeArrowheads="1"/>
        </xdr:cNvSpPr>
      </xdr:nvSpPr>
      <xdr:spPr>
        <a:xfrm>
          <a:off x="28575" y="13449300"/>
          <a:ext cx="4343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Ponadto należy podać informacje o głównych różnicach pomiędzy podatkiem dochodowym wykazanym w rachunku zysków i strat, a podatkiem ustalonym od podstawy opodatkowania z rozliczeniem głównych pozycji tych różnic, w szczególności: 
a) wysokość odliczenia osobno z tytułu ulgi inwestycyjnej i premii inwestycyjnej
b) wysokość darowizn podlegających odliczeniu od dochodu
c) przyczyny i wartość zaniechania, zwolnienia, odliczenia i obniżki podatku dochodowego
d) wysokość przyszłego zobowiązania z tytułu podatku dochodowego według stanu na koniec okresu z podziałem na tytuły, ze wskazaniem stawki podatku 
e) wysokość przyszłej należności z tytułu podatku dochodowego według stanu na koniec okresu z podziałem na tytuły
f) zmiany z tytułu zmiany stawek podatkowych
g) spisanie rozliczeń międzyokresowych z tytułu odroczonego podatku dochodowego spowodowane brakiem prawdopodobieństwa odzyskania należności podatkowej
h) informacje o podatku dochodowym od wyniku na operacjach nadzwyczajnych
</a:t>
          </a:r>
        </a:p>
      </xdr:txBody>
    </xdr:sp>
    <xdr:clientData/>
  </xdr:twoCellAnchor>
  <xdr:twoCellAnchor>
    <xdr:from>
      <xdr:col>0</xdr:col>
      <xdr:colOff>28575</xdr:colOff>
      <xdr:row>76</xdr:row>
      <xdr:rowOff>0</xdr:rowOff>
    </xdr:from>
    <xdr:to>
      <xdr:col>2</xdr:col>
      <xdr:colOff>0</xdr:colOff>
      <xdr:row>76</xdr:row>
      <xdr:rowOff>0</xdr:rowOff>
    </xdr:to>
    <xdr:sp>
      <xdr:nvSpPr>
        <xdr:cNvPr id="12" name="Tekst 24"/>
        <xdr:cNvSpPr txBox="1">
          <a:spLocks noChangeArrowheads="1"/>
        </xdr:cNvSpPr>
      </xdr:nvSpPr>
      <xdr:spPr>
        <a:xfrm>
          <a:off x="28575" y="13449300"/>
          <a:ext cx="4343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Należy przedstawić dodatkowe dane objaśniające sposób obliczenia zysku (straty) na jedną akcję zwykłą oraz rozwodnionego zysku (straty) na jedną akcję zwykłą.
Należy również przedstawić sposób podziału zysku lub pokrycia straty za prezentowane lata obrotowe, a w przypadku bieżącego roku obrotowego - propozycję podziału zysku lub pokrycia straty, ujawniając odpowiednie, dla ustalenia wielkości zysku lub straty, dane liczbowe w zł i groszach.
</a:t>
          </a:r>
        </a:p>
      </xdr:txBody>
    </xdr:sp>
    <xdr:clientData/>
  </xdr:twoCellAnchor>
  <xdr:twoCellAnchor>
    <xdr:from>
      <xdr:col>0</xdr:col>
      <xdr:colOff>28575</xdr:colOff>
      <xdr:row>76</xdr:row>
      <xdr:rowOff>0</xdr:rowOff>
    </xdr:from>
    <xdr:to>
      <xdr:col>2</xdr:col>
      <xdr:colOff>0</xdr:colOff>
      <xdr:row>76</xdr:row>
      <xdr:rowOff>0</xdr:rowOff>
    </xdr:to>
    <xdr:sp>
      <xdr:nvSpPr>
        <xdr:cNvPr id="13" name="Tekst 25"/>
        <xdr:cNvSpPr txBox="1">
          <a:spLocks noChangeArrowheads="1"/>
        </xdr:cNvSpPr>
      </xdr:nvSpPr>
      <xdr:spPr>
        <a:xfrm>
          <a:off x="28575" y="13449300"/>
          <a:ext cx="4343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Należy zdefiniować środki pieniężne przyjęte do rachunku przepływu środków pieniężnych, przedstawiając ich strukturę.
Należy objaśnić podział działalności emitenta na działalność operacyjną, inwestycyjną i finansową, przyjęty w rachunku przepływu środków pieniężnych. 
W przypadku wystąpienia niezgodności pomiędzy bilansowymi zmianami stanu niektórych pozycji oraz zmianami stanu tych pozycji wykazanymi w rachunku przepływu środków pieniężnych, należy wskazać ich przyczyny.
W odniesieniu do pozycji rachunku przepływu środków pieniężnych "Pozostałe korekty", "Pozostałe wpływy" i "Pozostałe wydatki", należy przedstawić wykaz tych korekt, wpływów i wydatków, których kwoty przekraczają 5% ogólnej sumy odpowiednio korekt, wpływów lub wydatków z danej działalności, a zostały ujęte w tych pozycjach.
</a:t>
          </a:r>
        </a:p>
      </xdr:txBody>
    </xdr:sp>
    <xdr:clientData/>
  </xdr:twoCellAnchor>
  <xdr:twoCellAnchor>
    <xdr:from>
      <xdr:col>0</xdr:col>
      <xdr:colOff>0</xdr:colOff>
      <xdr:row>76</xdr:row>
      <xdr:rowOff>0</xdr:rowOff>
    </xdr:from>
    <xdr:to>
      <xdr:col>1</xdr:col>
      <xdr:colOff>723900</xdr:colOff>
      <xdr:row>76</xdr:row>
      <xdr:rowOff>0</xdr:rowOff>
    </xdr:to>
    <xdr:sp>
      <xdr:nvSpPr>
        <xdr:cNvPr id="14" name="Tekst 26"/>
        <xdr:cNvSpPr txBox="1">
          <a:spLocks noChangeArrowheads="1"/>
        </xdr:cNvSpPr>
      </xdr:nvSpPr>
      <xdr:spPr>
        <a:xfrm>
          <a:off x="0" y="13449300"/>
          <a:ext cx="4371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rPr>
            <a:t>Z wyżej wymienionych pozycji: - kredyty z tytułu leasingu finansowego</a:t>
          </a:r>
        </a:p>
      </xdr:txBody>
    </xdr:sp>
    <xdr:clientData/>
  </xdr:twoCellAnchor>
  <xdr:twoCellAnchor>
    <xdr:from>
      <xdr:col>0</xdr:col>
      <xdr:colOff>38100</xdr:colOff>
      <xdr:row>76</xdr:row>
      <xdr:rowOff>0</xdr:rowOff>
    </xdr:from>
    <xdr:to>
      <xdr:col>1</xdr:col>
      <xdr:colOff>714375</xdr:colOff>
      <xdr:row>76</xdr:row>
      <xdr:rowOff>0</xdr:rowOff>
    </xdr:to>
    <xdr:sp>
      <xdr:nvSpPr>
        <xdr:cNvPr id="15" name="Tekst 47"/>
        <xdr:cNvSpPr txBox="1">
          <a:spLocks noChangeArrowheads="1"/>
        </xdr:cNvSpPr>
      </xdr:nvSpPr>
      <xdr:spPr>
        <a:xfrm>
          <a:off x="38100" y="13449300"/>
          <a:ext cx="4324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Ponadto w notach objaśniających do ostatniego półrocznego sprawozdania finansowego należy przedstawić:
1. Informacje z zakresu struktury koncentracji zaangażowania banku w poszczególne podmioty, grupy kapitałowe, branże, wraz z oceną ryzyka związanego z tym zaangażowaniem
2. Odnośnie „instrumentów finansowych” - papierów wartościowych, wymienionych w art. 3 ust. 3 ustawy Prawo o publicznym obrocie papierami wartościowymi z ustawy z dnia 21 sierpnia 1997 r. (Dz. U. Nr 118, poz. 754, z późn. zmianami) oraz innych praw pochodnych od praw majątkowych będących przedmiotem inwestycji emitenta oraz transakcji terminowych - informacje dotyczące co najmniej:
a) celu nabywania lub wystawiania instrumentu - np. zabezpieczenie
b) kwoty będącej podstawą obliczenia przyszłych płatności
c) terminu ustalania cen, zapadalności, wygaśnięcia lub wykonania instrumentu
d) możliwości wcześniejszego rozliczenia - okres lub dzień - jeśli istnieją
e) ceny lub przedziału cen realizacji instrumentu
f) możliwości wymiany lub zamiany na inny składnik aktywów lub pasywów
g) sumy i terminu przyszłych przychodów lub płatności kasowych
h) ustalonej stopy lub kwoty odsetek, dywidendy lub innych przychodów oraz terminu ich płatności
i) dodatkowych zabezpieczeń związanych z tym instrumentem, przyjętych lub złożonych
j) w/w informacji (a - i) również dla instrumentu, na który dany instrument może być zamieniony
k) innych warunków towarzyszących danemu instrumentowi  
l) rodzaju ryzyka związanego z instrumentem - np. ryzyko stopy procentowej 
m) sumy istniejących zobowiązań z tytułu zajętych pozycji w instrumentach.
3. Istotne dane o zobowiązaniach warunkowych, w tym również wynikających z umów subemisji, udzielonych przez emitenta gwarancjach i poręczeniach (także wekslowych), z wyodrębnieniem udzielonych na rzecz jednostek  zależnych i stowarzyszonych.
4. Wykaz zobowiązań wobec budżetu państwa lub jednostek samorządu terytorialnego z tytułu uzyskania prawa własności budynków i budowli
5. Przychody, koszty i wyniki działalności zaniechanej w okresie sprawozdawczym lub przewidzianej do zaniechania w następnym okresie
6. Koszt wytworzenia inwestycji rozpoczętych, środków trwałych i rozwoju na własne potrzeby
7. Poniesione i planowane nakłady inwestycyjne w okresie najbliższych 12 miesiący od dnia bilansowego
8. 1. Znaczące transakcje emitenta z podmiotami powiązanymi, tj. przeniesienie wszelkich praw i  zobowiązań pod tytułem odpłatnym jak i darmym
8. 2. Dane liczbowe, dotyczące spółek powiązanych kapitałowo z emitentem, o:
 a) stopniu udziału w zarządzaniu (z określeniem nazwy spółki)
 b) wzajemnych należnościach i zobowiązaniach
 c) kosztach i przychodach z wzajemnych transakcji 
 d) inne dane, niezbędne do sporządzenia skonsolidowanego sprawozdania finansowego
9. Informacje o wspólnych przedsięwzięciach, które nie podlegają konsolidacji metodą pełną lub praw własności, w tym:
 a) nazwie, zakresie działalności wspólnego przedsięwzięcia
 b) procentowym udziale
 c) części wspólnie kontrolowanych rzeczowych składników majątku trwałego, wartości niematerialnych i prawnych
 d) zobowiązaniach zaciągniętych na potrzeby przedsięwzięcia lub zakupu używanych rzeczowych składników majątku trwałego
 e) części zobowiązań wspólnie zaciągniętych
 f) dochodach otrzymanych ze wspólnego przedsięwzięcia i kosztach z nimi związanych
 g) zobowiązaniach warunkowych i inwestycyjnych dotyczących wspólnego przedsięwzięcia
10. Informacje o przeciętnym zatrudnieniu, z podziałem na grupy zawodowe. 
11. Informacje o wynagrodzeniach, łącznie z wynagrodzeniem z zysku, wypłaconych osobom zarządzającym i nadzorującym emitenta w przedsiębiorstwie emitenta oraz oddzielnie w przedsiębiorstwach jednostek od niego zależnych i z nim stowarzyszonych (dla każdej grupy osobno).
12. Informacje o wartości zaliczek, kredytów, pożyczek i gwarancji, z podaniem warunków oprocentowania i spłaty tych kwot, udzielonych osobom zarządzającym i nadzorującym emitenta oraz oddzielnie w przedsiębiorstwach jednostek od niego zależnych i z nim stowarzyszonych (dla każdej grupy osobno).
13. Informacje o znaczących zdarzeniach, dotyczących lat ubiegłych, ujętych w sprawozdaniu finansowym za bieżący okres.
14. Informacje o znaczących zdarzeniach, jakie nastąpiły po dniu bilansowym, a nie uwzględnionych w sprawozdaniu finansowym.
 Ponadto należy przedstawić:
15. Informacje o relacjach między prawnym poprzednikiem a emitentem oraz o sposobie i zakresie przejęcia aktywów i pasywów
16. Sprawozdanie finansowe i porównywalne dane finansowe (przynajmniej w odniesieniu do podstawowych pozycji bilansu oraz rachunku zysków i strat ), skorygowane odpowiednim wskaźnikiem inflacji, z podaniem źródła wskaźnika oraz metody jego wykorzystania, z przyjęciem okresu ostatniego sprawozdania finansowego jako okresu bazowego - jeżeli ostatnie 3 lata działalności emitenta przypadały na okres charakteryzujący się dużym wskaźnikiem inflacji (powyżej 20% w skali roku)
17. Zmiany stosowanych zasad (polityki) rachunkowości i sposobu sporządzania sprawozdania finansowego, dokonanych w stosunku do poprzedniego roku obrotowego (lat obrotowych), ich przyczyny oraz wpływ wywołanych tym skutków finansowych na sytuację majątkową i finansową, płynność oraz wynik finansowy i rentowność emitenta.
18. Zestawienie oraz objaśnienie różnic pomiędzy danymi ujawnionymi w sprawozdaniu finansowym i porównywalnych danych finansowych a uprzednio sporządzonymi i opublikowanymi sprawozdaniami finansowymi.
19. Jeżeli emitent nie sporządza skonsolidowanego sprawozdania finansowego, wyłączając na podstawie odrębnych przepisów wszystkie jednostki z obowiązku objęcia konsolidacją, w dodatkowej nocie objaśniającej do sprawozdania finansowego należy przedstawić podstawę prawną wraz z danymi uzasadniającymi odstąpienie od konsolidacji oraz inne informacje wymagane na podstawie odrębnych przepisów.
Ponadto w przypadku wystąpienia innych informacji, niż wymienione powyżej, które mogłyby w istotny sposób wpłynąć na prezentowane sprawozdanie finansowe lub porównywalne dane finansowe należy ujawnić te informacje
</a:t>
          </a:r>
        </a:p>
      </xdr:txBody>
    </xdr:sp>
    <xdr:clientData/>
  </xdr:twoCellAnchor>
  <xdr:twoCellAnchor>
    <xdr:from>
      <xdr:col>0</xdr:col>
      <xdr:colOff>0</xdr:colOff>
      <xdr:row>0</xdr:row>
      <xdr:rowOff>0</xdr:rowOff>
    </xdr:from>
    <xdr:to>
      <xdr:col>2</xdr:col>
      <xdr:colOff>0</xdr:colOff>
      <xdr:row>0</xdr:row>
      <xdr:rowOff>0</xdr:rowOff>
    </xdr:to>
    <xdr:sp>
      <xdr:nvSpPr>
        <xdr:cNvPr id="16" name="Tekst 53"/>
        <xdr:cNvSpPr txBox="1">
          <a:spLocks noChangeArrowheads="1"/>
        </xdr:cNvSpPr>
      </xdr:nvSpPr>
      <xdr:spPr>
        <a:xfrm>
          <a:off x="0" y="0"/>
          <a:ext cx="4371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Wstęp do półrocznego sprawozdania finansowego i porównywalnych danych finansowych powinien zawierać, przy uwzględnieniu specyfiki działalności emitenta, w szczególności:   
a) podstawowy przedmiot działalności emitenta według Europejskiej Klasyfikacji Działalności, zakres prowadzonej działalności oraz wskazanie okresów, za które prezentowane są półroczne sprawozdania finansowe i porównywalne dane finansowe,
b) wskazanie, czy sprawozdania finansowe za okresy poprzedniego roku obrotowego podlegały przekształceniu w celu zapewnienia porównywalności danych oraz czy zestawienie i objaśnienie różnic zostało zamieszczone w dodatkowej nocie objaśniającej, 
c) określenie zastosowanych zasad i metod rachunkowości, w tym metod  wyceny aktywów i pasywów oraz pomiaru wyniku finansowego, 
d) wskazanie czy w przedstawionym półrocznym sprawozdaniu finansowym lub porównywalnych danych finansowych, dokonano korekt wynikających z zastrzeżeń w opiniach podmiotów uprawnionych do badania o sprawozdaniach finansowych za lata poprzednie,
e) wskazanie czy półroczne sprawozdanie finansowe i porównywalne dane finansowe zawierają dane łączne - jeżeli w skład przedsiębiorstwa emitenta wchodzą wewnętrzne jednostki organizacyjne sporządzające samodzielne sprawozdania finansowe,
f) wskazanie istotnych różnic w zakresie przyjętych zasad i metod rachunkowości oraz ujawnionych danych pomiędzy półrocznym sprawozdaniem finansowym i danymi porównywalnymi a sprawozdaniem i danymi porównywalnymi, które zostałyby sporządzone według MSR lub US GAAP - jeżeli papiery wartościowe emitenta lub wystawiane w związku z nimi kwity depozytowe notowane są na rynku regulowanym poza granicami Rzeczypospolitej Polskiej lub są notowane na rynku podstawowym giełdy.
</a:t>
          </a:r>
        </a:p>
      </xdr:txBody>
    </xdr:sp>
    <xdr:clientData/>
  </xdr:twoCellAnchor>
  <xdr:twoCellAnchor>
    <xdr:from>
      <xdr:col>0</xdr:col>
      <xdr:colOff>0</xdr:colOff>
      <xdr:row>76</xdr:row>
      <xdr:rowOff>0</xdr:rowOff>
    </xdr:from>
    <xdr:to>
      <xdr:col>1</xdr:col>
      <xdr:colOff>723900</xdr:colOff>
      <xdr:row>76</xdr:row>
      <xdr:rowOff>0</xdr:rowOff>
    </xdr:to>
    <xdr:sp>
      <xdr:nvSpPr>
        <xdr:cNvPr id="17" name="Tekst 55"/>
        <xdr:cNvSpPr txBox="1">
          <a:spLocks noChangeArrowheads="1"/>
        </xdr:cNvSpPr>
      </xdr:nvSpPr>
      <xdr:spPr>
        <a:xfrm>
          <a:off x="0" y="13449300"/>
          <a:ext cx="4371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*Rachunek przepływu środków pieniężnych może być sporządzony metodą bezpośrednią  lub pośrednią,  zależnie od wyboru dokonanego przez  emitenta (odpowiedni wariant lit. A wypełnić zależnie od wybranej metody).</a:t>
          </a:r>
        </a:p>
      </xdr:txBody>
    </xdr:sp>
    <xdr:clientData/>
  </xdr:twoCellAnchor>
  <xdr:twoCellAnchor>
    <xdr:from>
      <xdr:col>0</xdr:col>
      <xdr:colOff>28575</xdr:colOff>
      <xdr:row>76</xdr:row>
      <xdr:rowOff>0</xdr:rowOff>
    </xdr:from>
    <xdr:to>
      <xdr:col>2</xdr:col>
      <xdr:colOff>0</xdr:colOff>
      <xdr:row>76</xdr:row>
      <xdr:rowOff>0</xdr:rowOff>
    </xdr:to>
    <xdr:sp>
      <xdr:nvSpPr>
        <xdr:cNvPr id="18" name="Tekst 59"/>
        <xdr:cNvSpPr txBox="1">
          <a:spLocks noChangeArrowheads="1"/>
        </xdr:cNvSpPr>
      </xdr:nvSpPr>
      <xdr:spPr>
        <a:xfrm>
          <a:off x="28575" y="13449300"/>
          <a:ext cx="4343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W przypadku gdy rachunek przepływu środków pieniężnych sporządzony jest metodą bezpośrednią, dodatkowo należy przedstawić notę objaśniającą zawierającą uzgodnienie przepływów pieniężnych netto z działalności operacyjnej metodą pośrednią.
</a:t>
          </a:r>
        </a:p>
      </xdr:txBody>
    </xdr:sp>
    <xdr:clientData/>
  </xdr:twoCellAnchor>
  <xdr:twoCellAnchor>
    <xdr:from>
      <xdr:col>0</xdr:col>
      <xdr:colOff>28575</xdr:colOff>
      <xdr:row>76</xdr:row>
      <xdr:rowOff>0</xdr:rowOff>
    </xdr:from>
    <xdr:to>
      <xdr:col>1</xdr:col>
      <xdr:colOff>723900</xdr:colOff>
      <xdr:row>76</xdr:row>
      <xdr:rowOff>0</xdr:rowOff>
    </xdr:to>
    <xdr:sp>
      <xdr:nvSpPr>
        <xdr:cNvPr id="19" name="Tekst 62"/>
        <xdr:cNvSpPr txBox="1">
          <a:spLocks noChangeArrowheads="1"/>
        </xdr:cNvSpPr>
      </xdr:nvSpPr>
      <xdr:spPr>
        <a:xfrm>
          <a:off x="28575" y="13449300"/>
          <a:ext cx="4343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Akcje i udziały zapewniające mniej niż 5% kapitału i ogólnej liczby głosów na walnym zgromadzeniu jednostki można wykazać łącznie w pozycji "inne", chyba, że są one istotne ze względu na wartość (rynkową) lub politykę jednostki.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orary%20Internet%20Files\Content.IE5\STY30TY3\sprawozdania_200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pldt"/>
      <sheetName val="PODATEK"/>
      <sheetName val="DOCHODY "/>
      <sheetName val="KOSZTY "/>
      <sheetName val="do bilansu 31,01,01"/>
      <sheetName val="do bilansu 28,02,01"/>
      <sheetName val="do bilansu 31,03,01"/>
      <sheetName val="do bilansu 30,04,01"/>
      <sheetName val="do bilansu 31,05,01"/>
      <sheetName val="do bilansu 30,06,01"/>
      <sheetName val="do bilansu 31,07,01"/>
      <sheetName val="do bilansu 31,08,01"/>
      <sheetName val="do bilansu 30,09,01"/>
      <sheetName val="bilans 30,09,01"/>
      <sheetName val="bilans 31,08,01"/>
      <sheetName val="bilans 31,07,01"/>
      <sheetName val="bilans 30,06,01"/>
      <sheetName val="bilans 31,05,01"/>
      <sheetName val="bilans 30,04,01"/>
      <sheetName val="bilans 31,03,01"/>
      <sheetName val="bilans 28,02,01"/>
      <sheetName val="bilans 31,01,01"/>
      <sheetName val="WYNIK "/>
    </sheetNames>
    <sheetDataSet>
      <sheetData sheetId="10">
        <row r="48">
          <cell r="B48">
            <v>2676024.56</v>
          </cell>
        </row>
        <row r="52">
          <cell r="E52">
            <v>94026.37</v>
          </cell>
        </row>
        <row r="53">
          <cell r="B53">
            <v>0</v>
          </cell>
        </row>
        <row r="56">
          <cell r="E56">
            <v>18475.75</v>
          </cell>
        </row>
        <row r="57">
          <cell r="B57">
            <v>0</v>
          </cell>
        </row>
        <row r="60">
          <cell r="B60">
            <v>40710.83</v>
          </cell>
        </row>
        <row r="64">
          <cell r="B64">
            <v>148.9</v>
          </cell>
        </row>
        <row r="66">
          <cell r="E66">
            <v>28967.14</v>
          </cell>
        </row>
        <row r="69">
          <cell r="B69">
            <v>2000000</v>
          </cell>
        </row>
        <row r="74">
          <cell r="B74">
            <v>1964898.48</v>
          </cell>
          <cell r="E74">
            <v>0</v>
          </cell>
        </row>
        <row r="78">
          <cell r="B78">
            <v>4000000</v>
          </cell>
          <cell r="E78">
            <v>15500000</v>
          </cell>
        </row>
        <row r="82">
          <cell r="E82">
            <v>367138.65</v>
          </cell>
        </row>
        <row r="85">
          <cell r="B85">
            <v>50301.44</v>
          </cell>
        </row>
        <row r="87">
          <cell r="E87">
            <v>-1664098.69</v>
          </cell>
        </row>
        <row r="88">
          <cell r="E88">
            <v>0</v>
          </cell>
        </row>
        <row r="90">
          <cell r="B90">
            <v>397633.85000000003</v>
          </cell>
        </row>
        <row r="93">
          <cell r="E93">
            <v>-2478894.58</v>
          </cell>
        </row>
        <row r="95">
          <cell r="B95">
            <v>155463.04000000004</v>
          </cell>
        </row>
        <row r="100">
          <cell r="B100">
            <v>395838.43999999994</v>
          </cell>
        </row>
        <row r="104">
          <cell r="B104">
            <v>184595.1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93"/>
  <sheetViews>
    <sheetView workbookViewId="0" topLeftCell="A1">
      <selection activeCell="B2" sqref="B2"/>
    </sheetView>
  </sheetViews>
  <sheetFormatPr defaultColWidth="9.140625" defaultRowHeight="12.75"/>
  <cols>
    <col min="1" max="1" width="54.7109375" style="181" customWidth="1"/>
    <col min="2" max="2" width="10.8515625" style="183" customWidth="1"/>
  </cols>
  <sheetData>
    <row r="1" ht="12.75">
      <c r="A1" s="489" t="s">
        <v>1391</v>
      </c>
    </row>
    <row r="2" spans="1:2" ht="19.5" thickBot="1">
      <c r="A2" s="157" t="s">
        <v>1188</v>
      </c>
      <c r="B2" s="490" t="s">
        <v>504</v>
      </c>
    </row>
    <row r="3" spans="1:2" ht="33" thickBot="1" thickTop="1">
      <c r="A3" s="158" t="s">
        <v>614</v>
      </c>
      <c r="B3" s="159" t="s">
        <v>615</v>
      </c>
    </row>
    <row r="4" spans="1:2" ht="13.5" thickBot="1">
      <c r="A4" s="160" t="s">
        <v>1578</v>
      </c>
      <c r="B4" s="161"/>
    </row>
    <row r="5" spans="1:2" ht="12.75">
      <c r="A5" s="162" t="s">
        <v>616</v>
      </c>
      <c r="B5" s="163">
        <v>125044</v>
      </c>
    </row>
    <row r="6" spans="1:2" ht="24">
      <c r="A6" s="164" t="s">
        <v>617</v>
      </c>
      <c r="B6" s="165">
        <v>0</v>
      </c>
    </row>
    <row r="7" spans="1:2" ht="12.75">
      <c r="A7" s="164" t="s">
        <v>618</v>
      </c>
      <c r="B7" s="165">
        <v>1000735</v>
      </c>
    </row>
    <row r="8" spans="1:2" ht="12.75">
      <c r="A8" s="164" t="s">
        <v>619</v>
      </c>
      <c r="B8" s="165">
        <v>3556</v>
      </c>
    </row>
    <row r="9" spans="1:2" ht="12.75">
      <c r="A9" s="164" t="s">
        <v>620</v>
      </c>
      <c r="B9" s="165">
        <v>997179</v>
      </c>
    </row>
    <row r="10" spans="1:2" ht="12.75">
      <c r="A10" s="164" t="s">
        <v>621</v>
      </c>
      <c r="B10" s="165">
        <v>1139027</v>
      </c>
    </row>
    <row r="11" spans="1:2" ht="12.75">
      <c r="A11" s="164" t="s">
        <v>619</v>
      </c>
      <c r="B11" s="165">
        <v>68547</v>
      </c>
    </row>
    <row r="12" spans="1:2" ht="12.75">
      <c r="A12" s="164" t="s">
        <v>620</v>
      </c>
      <c r="B12" s="165">
        <v>1070480</v>
      </c>
    </row>
    <row r="13" spans="1:2" ht="24">
      <c r="A13" s="164" t="s">
        <v>622</v>
      </c>
      <c r="B13" s="165">
        <v>0</v>
      </c>
    </row>
    <row r="14" spans="1:2" ht="12.75">
      <c r="A14" s="164" t="s">
        <v>623</v>
      </c>
      <c r="B14" s="165">
        <v>748869</v>
      </c>
    </row>
    <row r="15" spans="1:2" ht="12" customHeight="1">
      <c r="A15" s="164" t="s">
        <v>624</v>
      </c>
      <c r="B15" s="165">
        <v>3244</v>
      </c>
    </row>
    <row r="16" spans="1:2" ht="12" customHeight="1">
      <c r="A16" s="164" t="s">
        <v>625</v>
      </c>
      <c r="B16" s="165">
        <v>0</v>
      </c>
    </row>
    <row r="17" spans="1:2" ht="12.75">
      <c r="A17" s="164" t="s">
        <v>626</v>
      </c>
      <c r="B17" s="165">
        <v>9650</v>
      </c>
    </row>
    <row r="18" spans="1:2" ht="12.75">
      <c r="A18" s="164" t="s">
        <v>627</v>
      </c>
      <c r="B18" s="165">
        <v>0</v>
      </c>
    </row>
    <row r="19" spans="1:2" ht="12.75">
      <c r="A19" s="164" t="s">
        <v>628</v>
      </c>
      <c r="B19" s="165">
        <v>626</v>
      </c>
    </row>
    <row r="20" spans="1:2" ht="12.75">
      <c r="A20" s="164" t="s">
        <v>629</v>
      </c>
      <c r="B20" s="165">
        <v>55587</v>
      </c>
    </row>
    <row r="21" spans="1:2" ht="12.75">
      <c r="A21" s="164" t="s">
        <v>630</v>
      </c>
      <c r="B21" s="165">
        <v>0</v>
      </c>
    </row>
    <row r="22" spans="1:2" ht="12.75">
      <c r="A22" s="164" t="s">
        <v>631</v>
      </c>
      <c r="B22" s="165">
        <v>19567</v>
      </c>
    </row>
    <row r="23" spans="1:2" ht="12.75">
      <c r="A23" s="164" t="s">
        <v>632</v>
      </c>
      <c r="B23" s="165">
        <v>2299</v>
      </c>
    </row>
    <row r="24" spans="1:2" ht="12.75">
      <c r="A24" s="164" t="s">
        <v>633</v>
      </c>
      <c r="B24" s="165">
        <v>17268</v>
      </c>
    </row>
    <row r="25" spans="1:2" ht="12.75">
      <c r="A25" s="164" t="s">
        <v>634</v>
      </c>
      <c r="B25" s="165">
        <v>1543</v>
      </c>
    </row>
    <row r="26" spans="1:2" ht="12.75">
      <c r="A26" s="164" t="s">
        <v>635</v>
      </c>
      <c r="B26" s="165">
        <v>0</v>
      </c>
    </row>
    <row r="27" spans="1:2" ht="12.75">
      <c r="A27" s="164" t="s">
        <v>636</v>
      </c>
      <c r="B27" s="165">
        <v>1543</v>
      </c>
    </row>
    <row r="28" spans="1:2" ht="13.5" thickBot="1">
      <c r="A28" s="166" t="s">
        <v>637</v>
      </c>
      <c r="B28" s="167">
        <v>3103892</v>
      </c>
    </row>
    <row r="29" spans="1:2" ht="13.5" thickBot="1">
      <c r="A29" s="168"/>
      <c r="B29" s="169"/>
    </row>
    <row r="30" spans="1:2" ht="13.5" thickBot="1">
      <c r="A30" s="160" t="s">
        <v>1626</v>
      </c>
      <c r="B30" s="170"/>
    </row>
    <row r="31" spans="1:2" ht="12.75">
      <c r="A31" s="162" t="s">
        <v>1300</v>
      </c>
      <c r="B31" s="163">
        <v>143000</v>
      </c>
    </row>
    <row r="32" spans="1:2" ht="12.75">
      <c r="A32" s="164" t="s">
        <v>1301</v>
      </c>
      <c r="B32" s="165">
        <v>287912</v>
      </c>
    </row>
    <row r="33" spans="1:2" ht="12.75">
      <c r="A33" s="164" t="s">
        <v>1302</v>
      </c>
      <c r="B33" s="165">
        <v>3089</v>
      </c>
    </row>
    <row r="34" spans="1:2" ht="12.75">
      <c r="A34" s="164" t="s">
        <v>620</v>
      </c>
      <c r="B34" s="165">
        <v>284823</v>
      </c>
    </row>
    <row r="35" spans="1:2" ht="12.75">
      <c r="A35" s="164" t="s">
        <v>1303</v>
      </c>
      <c r="B35" s="165">
        <v>2360624</v>
      </c>
    </row>
    <row r="36" spans="1:2" ht="12.75">
      <c r="A36" s="164" t="s">
        <v>1304</v>
      </c>
      <c r="B36" s="165">
        <v>53</v>
      </c>
    </row>
    <row r="37" spans="1:2" ht="12.75">
      <c r="A37" s="171" t="s">
        <v>1305</v>
      </c>
      <c r="B37" s="165">
        <v>0</v>
      </c>
    </row>
    <row r="38" spans="1:2" ht="12.75">
      <c r="A38" s="164" t="s">
        <v>1306</v>
      </c>
      <c r="B38" s="165">
        <v>53</v>
      </c>
    </row>
    <row r="39" spans="1:2" ht="12.75">
      <c r="A39" s="164" t="s">
        <v>1307</v>
      </c>
      <c r="B39" s="165">
        <v>2360571</v>
      </c>
    </row>
    <row r="40" spans="1:2" ht="12.75">
      <c r="A40" s="164" t="s">
        <v>1305</v>
      </c>
      <c r="B40" s="165">
        <v>450060</v>
      </c>
    </row>
    <row r="41" spans="1:2" ht="12.75">
      <c r="A41" s="164" t="s">
        <v>1306</v>
      </c>
      <c r="B41" s="165">
        <v>1910511</v>
      </c>
    </row>
    <row r="42" spans="1:2" ht="24">
      <c r="A42" s="164" t="s">
        <v>1308</v>
      </c>
      <c r="B42" s="165">
        <v>0</v>
      </c>
    </row>
    <row r="43" spans="1:2" ht="12" customHeight="1">
      <c r="A43" s="164" t="s">
        <v>1309</v>
      </c>
      <c r="B43" s="165">
        <v>0</v>
      </c>
    </row>
    <row r="44" spans="1:2" ht="12.75">
      <c r="A44" s="164" t="s">
        <v>1310</v>
      </c>
      <c r="B44" s="165">
        <v>60709</v>
      </c>
    </row>
    <row r="45" spans="1:2" ht="12.75">
      <c r="A45" s="164" t="s">
        <v>1311</v>
      </c>
      <c r="B45" s="165">
        <v>47293</v>
      </c>
    </row>
    <row r="46" spans="1:2" ht="12.75">
      <c r="A46" s="164" t="s">
        <v>1312</v>
      </c>
      <c r="B46" s="165">
        <v>22291</v>
      </c>
    </row>
    <row r="47" spans="1:2" ht="12.75">
      <c r="A47" s="164" t="s">
        <v>1313</v>
      </c>
      <c r="B47" s="165">
        <v>8175</v>
      </c>
    </row>
    <row r="48" spans="1:2" ht="12.75">
      <c r="A48" s="164" t="s">
        <v>1314</v>
      </c>
      <c r="B48" s="165">
        <v>14116</v>
      </c>
    </row>
    <row r="49" spans="1:2" ht="12.75">
      <c r="A49" s="164" t="s">
        <v>1315</v>
      </c>
      <c r="B49" s="165">
        <v>30117</v>
      </c>
    </row>
    <row r="50" spans="1:2" ht="12.75">
      <c r="A50" s="164" t="s">
        <v>1316</v>
      </c>
      <c r="B50" s="165">
        <v>48579</v>
      </c>
    </row>
    <row r="51" spans="1:2" ht="12" customHeight="1">
      <c r="A51" s="164" t="s">
        <v>1317</v>
      </c>
      <c r="B51" s="165">
        <v>0</v>
      </c>
    </row>
    <row r="52" spans="1:2" ht="12.75">
      <c r="A52" s="164" t="s">
        <v>1318</v>
      </c>
      <c r="B52" s="165">
        <v>62779</v>
      </c>
    </row>
    <row r="53" spans="1:2" ht="12.75">
      <c r="A53" s="164" t="s">
        <v>1319</v>
      </c>
      <c r="B53" s="165">
        <v>3776</v>
      </c>
    </row>
    <row r="54" spans="1:2" ht="12.75">
      <c r="A54" s="164" t="s">
        <v>1320</v>
      </c>
      <c r="B54" s="165">
        <v>24500</v>
      </c>
    </row>
    <row r="55" spans="1:2" ht="12.75">
      <c r="A55" s="164" t="s">
        <v>1321</v>
      </c>
      <c r="B55" s="165">
        <v>0</v>
      </c>
    </row>
    <row r="56" spans="1:2" ht="12.75">
      <c r="A56" s="164" t="s">
        <v>1322</v>
      </c>
      <c r="B56" s="165">
        <v>0</v>
      </c>
    </row>
    <row r="57" spans="1:2" ht="12.75">
      <c r="A57" s="164" t="s">
        <v>1323</v>
      </c>
      <c r="B57" s="165">
        <v>12312</v>
      </c>
    </row>
    <row r="58" spans="1:2" ht="13.5" thickBot="1">
      <c r="A58" s="172" t="s">
        <v>1324</v>
      </c>
      <c r="B58" s="173">
        <v>3103892</v>
      </c>
    </row>
    <row r="59" spans="1:2" ht="13.5" thickTop="1">
      <c r="A59" s="174"/>
      <c r="B59" s="175"/>
    </row>
    <row r="60" spans="1:2" ht="12.75">
      <c r="A60" s="174"/>
      <c r="B60" s="175"/>
    </row>
    <row r="61" spans="1:2" ht="19.5" thickBot="1">
      <c r="A61" s="176" t="s">
        <v>1325</v>
      </c>
      <c r="B61" s="177" t="s">
        <v>921</v>
      </c>
    </row>
    <row r="62" spans="1:2" ht="33" thickBot="1" thickTop="1">
      <c r="A62" s="158" t="s">
        <v>614</v>
      </c>
      <c r="B62" s="178" t="s">
        <v>1326</v>
      </c>
    </row>
    <row r="63" spans="1:2" ht="12.75">
      <c r="A63" s="171" t="s">
        <v>1327</v>
      </c>
      <c r="B63" s="165">
        <v>227566</v>
      </c>
    </row>
    <row r="64" spans="1:2" ht="12.75">
      <c r="A64" s="171" t="s">
        <v>1328</v>
      </c>
      <c r="B64" s="165">
        <v>71047</v>
      </c>
    </row>
    <row r="65" spans="1:2" ht="12.75">
      <c r="A65" s="171" t="s">
        <v>1329</v>
      </c>
      <c r="B65" s="165">
        <v>65824</v>
      </c>
    </row>
    <row r="66" spans="1:2" ht="12.75">
      <c r="A66" s="171" t="s">
        <v>1330</v>
      </c>
      <c r="B66" s="165">
        <v>5223</v>
      </c>
    </row>
    <row r="67" spans="1:2" ht="12.75">
      <c r="A67" s="171" t="s">
        <v>1331</v>
      </c>
      <c r="B67" s="165">
        <v>156519</v>
      </c>
    </row>
    <row r="68" spans="1:2" ht="12.75">
      <c r="A68" s="171" t="s">
        <v>1329</v>
      </c>
      <c r="B68" s="165">
        <v>0</v>
      </c>
    </row>
    <row r="69" spans="1:2" ht="12.75">
      <c r="A69" s="171" t="s">
        <v>1330</v>
      </c>
      <c r="B69" s="165">
        <v>156519</v>
      </c>
    </row>
    <row r="70" spans="1:2" ht="12.75">
      <c r="A70" s="171" t="s">
        <v>1332</v>
      </c>
      <c r="B70" s="165">
        <v>149394</v>
      </c>
    </row>
    <row r="71" spans="1:2" ht="12.75">
      <c r="A71" s="171" t="s">
        <v>1333</v>
      </c>
      <c r="B71" s="165">
        <v>0</v>
      </c>
    </row>
    <row r="72" spans="1:2" ht="12.75">
      <c r="A72" s="171" t="s">
        <v>1334</v>
      </c>
      <c r="B72" s="165"/>
    </row>
    <row r="73" spans="1:2" ht="12.75">
      <c r="A73" s="171" t="s">
        <v>1334</v>
      </c>
      <c r="B73" s="165"/>
    </row>
    <row r="74" spans="1:2" ht="12.75">
      <c r="A74" s="171" t="s">
        <v>1334</v>
      </c>
      <c r="B74" s="165"/>
    </row>
    <row r="75" spans="1:2" ht="12.75">
      <c r="A75" s="171" t="s">
        <v>1334</v>
      </c>
      <c r="B75" s="165"/>
    </row>
    <row r="76" spans="1:2" ht="13.5" thickBot="1">
      <c r="A76" s="179" t="s">
        <v>1335</v>
      </c>
      <c r="B76" s="180">
        <v>376960</v>
      </c>
    </row>
    <row r="77" ht="13.5" thickTop="1">
      <c r="B77" s="182"/>
    </row>
    <row r="79" spans="1:2" ht="19.5" thickBot="1">
      <c r="A79" s="184" t="s">
        <v>1336</v>
      </c>
      <c r="B79" s="185"/>
    </row>
    <row r="80" spans="1:2" ht="33" thickBot="1" thickTop="1">
      <c r="A80" s="186" t="s">
        <v>1337</v>
      </c>
      <c r="B80" s="159" t="s">
        <v>1338</v>
      </c>
    </row>
    <row r="81" spans="1:2" ht="12.75">
      <c r="A81" s="187" t="s">
        <v>1339</v>
      </c>
      <c r="B81" s="163">
        <v>228732</v>
      </c>
    </row>
    <row r="82" spans="1:2" ht="12.75">
      <c r="A82" s="187" t="s">
        <v>1340</v>
      </c>
      <c r="B82" s="165">
        <v>164435</v>
      </c>
    </row>
    <row r="83" spans="1:2" ht="12.75">
      <c r="A83" s="188" t="s">
        <v>1341</v>
      </c>
      <c r="B83" s="189">
        <v>64297</v>
      </c>
    </row>
    <row r="84" spans="1:2" ht="12.75">
      <c r="A84" s="187" t="s">
        <v>1342</v>
      </c>
      <c r="B84" s="165">
        <v>22974</v>
      </c>
    </row>
    <row r="85" spans="1:2" ht="12.75">
      <c r="A85" s="187" t="s">
        <v>1343</v>
      </c>
      <c r="B85" s="165">
        <v>7591</v>
      </c>
    </row>
    <row r="86" spans="1:2" ht="12.75">
      <c r="A86" s="188" t="s">
        <v>1344</v>
      </c>
      <c r="B86" s="189">
        <v>15383</v>
      </c>
    </row>
    <row r="87" spans="1:2" ht="24">
      <c r="A87" s="187" t="s">
        <v>1345</v>
      </c>
      <c r="B87" s="165">
        <v>0</v>
      </c>
    </row>
    <row r="88" spans="1:2" ht="12.75">
      <c r="A88" s="188" t="s">
        <v>1346</v>
      </c>
      <c r="B88" s="189">
        <v>693</v>
      </c>
    </row>
    <row r="89" spans="1:2" ht="12.75">
      <c r="A89" s="187" t="s">
        <v>1347</v>
      </c>
      <c r="B89" s="165">
        <v>3714</v>
      </c>
    </row>
    <row r="90" spans="1:2" ht="12.75">
      <c r="A90" s="188" t="s">
        <v>1348</v>
      </c>
      <c r="B90" s="189">
        <v>84087</v>
      </c>
    </row>
    <row r="91" spans="1:2" ht="12.75">
      <c r="A91" s="187" t="s">
        <v>1349</v>
      </c>
      <c r="B91" s="165">
        <v>6563</v>
      </c>
    </row>
    <row r="92" spans="1:2" ht="12.75">
      <c r="A92" s="187" t="s">
        <v>1350</v>
      </c>
      <c r="B92" s="165">
        <v>7514</v>
      </c>
    </row>
    <row r="93" spans="1:2" ht="12.75">
      <c r="A93" s="187" t="s">
        <v>1351</v>
      </c>
      <c r="B93" s="165">
        <v>42175</v>
      </c>
    </row>
    <row r="94" spans="1:2" ht="24">
      <c r="A94" s="187" t="s">
        <v>1352</v>
      </c>
      <c r="B94" s="165">
        <v>3574</v>
      </c>
    </row>
    <row r="95" spans="1:2" ht="12.75">
      <c r="A95" s="187" t="s">
        <v>1353</v>
      </c>
      <c r="B95" s="165">
        <v>50577</v>
      </c>
    </row>
    <row r="96" spans="1:2" ht="12.75">
      <c r="A96" s="187" t="s">
        <v>1354</v>
      </c>
      <c r="B96" s="165">
        <v>35477</v>
      </c>
    </row>
    <row r="97" spans="1:2" ht="12.75">
      <c r="A97" s="187" t="s">
        <v>1355</v>
      </c>
      <c r="B97" s="165">
        <v>15100</v>
      </c>
    </row>
    <row r="98" spans="1:2" ht="12.75">
      <c r="A98" s="188" t="s">
        <v>1356</v>
      </c>
      <c r="B98" s="189">
        <v>22287</v>
      </c>
    </row>
    <row r="99" spans="1:2" ht="12.75">
      <c r="A99" s="187" t="s">
        <v>1357</v>
      </c>
      <c r="B99" s="165">
        <v>0</v>
      </c>
    </row>
    <row r="100" spans="1:2" ht="12.75">
      <c r="A100" s="187" t="s">
        <v>1358</v>
      </c>
      <c r="B100" s="165">
        <v>0</v>
      </c>
    </row>
    <row r="101" spans="1:2" ht="12.75">
      <c r="A101" s="187" t="s">
        <v>1359</v>
      </c>
      <c r="B101" s="165">
        <v>0</v>
      </c>
    </row>
    <row r="102" spans="1:2" ht="12.75">
      <c r="A102" s="188" t="s">
        <v>1360</v>
      </c>
      <c r="B102" s="189">
        <v>22287</v>
      </c>
    </row>
    <row r="103" spans="1:2" ht="12.75">
      <c r="A103" s="187" t="s">
        <v>1361</v>
      </c>
      <c r="B103" s="165">
        <v>9975</v>
      </c>
    </row>
    <row r="104" spans="1:2" ht="12.75">
      <c r="A104" s="187" t="s">
        <v>1362</v>
      </c>
      <c r="B104" s="165">
        <v>0</v>
      </c>
    </row>
    <row r="105" spans="1:2" ht="13.5" thickBot="1">
      <c r="A105" s="190" t="s">
        <v>1363</v>
      </c>
      <c r="B105" s="180">
        <v>12312</v>
      </c>
    </row>
    <row r="106" spans="1:2" ht="13.5" thickTop="1">
      <c r="A106" s="174"/>
      <c r="B106" s="175"/>
    </row>
    <row r="107" spans="1:2" ht="12.75">
      <c r="A107" s="191"/>
      <c r="B107" s="192"/>
    </row>
    <row r="108" spans="1:2" ht="19.5" thickBot="1">
      <c r="A108" s="193" t="s">
        <v>1364</v>
      </c>
      <c r="B108" s="194"/>
    </row>
    <row r="109" spans="1:2" ht="33" thickBot="1" thickTop="1">
      <c r="A109" s="195" t="s">
        <v>921</v>
      </c>
      <c r="B109" s="159" t="s">
        <v>1338</v>
      </c>
    </row>
    <row r="110" spans="1:2" ht="24">
      <c r="A110" s="196" t="s">
        <v>1365</v>
      </c>
      <c r="B110" s="197"/>
    </row>
    <row r="111" spans="1:2" ht="12.75">
      <c r="A111" s="196" t="s">
        <v>1366</v>
      </c>
      <c r="B111" s="189"/>
    </row>
    <row r="112" spans="1:2" ht="12.75">
      <c r="A112" s="198" t="s">
        <v>1367</v>
      </c>
      <c r="B112" s="165"/>
    </row>
    <row r="113" spans="1:2" ht="12.75">
      <c r="A113" s="198" t="s">
        <v>1368</v>
      </c>
      <c r="B113" s="165"/>
    </row>
    <row r="114" spans="1:2" ht="12.75">
      <c r="A114" s="198" t="s">
        <v>1369</v>
      </c>
      <c r="B114" s="165"/>
    </row>
    <row r="115" spans="1:2" ht="12.75">
      <c r="A115" s="198" t="s">
        <v>1370</v>
      </c>
      <c r="B115" s="165"/>
    </row>
    <row r="116" spans="1:2" ht="12.75">
      <c r="A116" s="198" t="s">
        <v>1371</v>
      </c>
      <c r="B116" s="165"/>
    </row>
    <row r="117" spans="1:2" ht="12.75">
      <c r="A117" s="198" t="s">
        <v>1372</v>
      </c>
      <c r="B117" s="165"/>
    </row>
    <row r="118" spans="1:2" ht="12.75">
      <c r="A118" s="196" t="s">
        <v>1373</v>
      </c>
      <c r="B118" s="189"/>
    </row>
    <row r="119" spans="1:2" ht="12.75">
      <c r="A119" s="198" t="s">
        <v>1374</v>
      </c>
      <c r="B119" s="165"/>
    </row>
    <row r="120" spans="1:2" ht="12.75">
      <c r="A120" s="198" t="s">
        <v>1368</v>
      </c>
      <c r="B120" s="165"/>
    </row>
    <row r="121" spans="1:2" ht="12.75">
      <c r="A121" s="199" t="s">
        <v>1369</v>
      </c>
      <c r="B121" s="165"/>
    </row>
    <row r="122" spans="1:2" ht="12.75">
      <c r="A122" s="200" t="s">
        <v>1375</v>
      </c>
      <c r="B122" s="165"/>
    </row>
    <row r="123" spans="1:2" ht="12.75">
      <c r="A123" s="198" t="s">
        <v>1376</v>
      </c>
      <c r="B123" s="165"/>
    </row>
    <row r="124" spans="1:2" ht="12.75">
      <c r="A124" s="200" t="s">
        <v>1377</v>
      </c>
      <c r="B124" s="165"/>
    </row>
    <row r="125" spans="1:2" ht="12.75">
      <c r="A125" s="198" t="s">
        <v>1378</v>
      </c>
      <c r="B125" s="165"/>
    </row>
    <row r="126" spans="1:2" ht="12.75">
      <c r="A126" s="198" t="s">
        <v>1379</v>
      </c>
      <c r="B126" s="165"/>
    </row>
    <row r="127" spans="1:2" ht="24">
      <c r="A127" s="196" t="s">
        <v>1380</v>
      </c>
      <c r="B127" s="201">
        <v>261869</v>
      </c>
    </row>
    <row r="128" spans="1:2" ht="12.75">
      <c r="A128" s="196" t="s">
        <v>1381</v>
      </c>
      <c r="B128" s="189">
        <v>12312</v>
      </c>
    </row>
    <row r="129" spans="1:2" ht="12.75">
      <c r="A129" s="196" t="s">
        <v>1382</v>
      </c>
      <c r="B129" s="189">
        <v>249557</v>
      </c>
    </row>
    <row r="130" spans="1:2" ht="12.75">
      <c r="A130" s="198" t="s">
        <v>1383</v>
      </c>
      <c r="B130" s="165">
        <v>6453</v>
      </c>
    </row>
    <row r="131" spans="1:2" ht="12.75">
      <c r="A131" s="198" t="s">
        <v>1384</v>
      </c>
      <c r="B131" s="165">
        <v>0</v>
      </c>
    </row>
    <row r="132" spans="1:2" ht="12.75">
      <c r="A132" s="198" t="s">
        <v>1385</v>
      </c>
      <c r="B132" s="165">
        <v>0</v>
      </c>
    </row>
    <row r="133" spans="1:2" ht="12.75">
      <c r="A133" s="198" t="s">
        <v>1386</v>
      </c>
      <c r="B133" s="165">
        <v>-157</v>
      </c>
    </row>
    <row r="134" spans="1:2" ht="12.75">
      <c r="A134" s="198" t="s">
        <v>1387</v>
      </c>
      <c r="B134" s="165">
        <v>-108</v>
      </c>
    </row>
    <row r="135" spans="1:2" ht="12.75">
      <c r="A135" s="198" t="s">
        <v>1388</v>
      </c>
      <c r="B135" s="165">
        <v>9975</v>
      </c>
    </row>
    <row r="136" spans="1:2" ht="12.75">
      <c r="A136" s="198" t="s">
        <v>1389</v>
      </c>
      <c r="B136" s="165">
        <v>-5831</v>
      </c>
    </row>
    <row r="137" spans="1:2" ht="12.75">
      <c r="A137" s="198" t="s">
        <v>1390</v>
      </c>
      <c r="B137" s="165">
        <v>-56154</v>
      </c>
    </row>
    <row r="138" spans="1:2" ht="12.75">
      <c r="A138" s="198" t="s">
        <v>911</v>
      </c>
      <c r="B138" s="165">
        <v>-347061</v>
      </c>
    </row>
    <row r="139" spans="1:2" ht="24">
      <c r="A139" s="198" t="s">
        <v>912</v>
      </c>
      <c r="B139" s="165">
        <v>17130</v>
      </c>
    </row>
    <row r="140" spans="1:2" ht="24">
      <c r="A140" s="198" t="s">
        <v>913</v>
      </c>
      <c r="B140" s="165">
        <v>0</v>
      </c>
    </row>
    <row r="141" spans="1:2" ht="24">
      <c r="A141" s="198" t="s">
        <v>914</v>
      </c>
      <c r="B141" s="165">
        <v>0</v>
      </c>
    </row>
    <row r="142" spans="1:2" ht="12.75">
      <c r="A142" s="198" t="s">
        <v>915</v>
      </c>
      <c r="B142" s="165">
        <v>283723</v>
      </c>
    </row>
    <row r="143" spans="1:2" ht="24">
      <c r="A143" s="198" t="s">
        <v>916</v>
      </c>
      <c r="B143" s="165">
        <v>321957</v>
      </c>
    </row>
    <row r="144" spans="1:2" ht="24">
      <c r="A144" s="198" t="s">
        <v>917</v>
      </c>
      <c r="B144" s="165">
        <v>0</v>
      </c>
    </row>
    <row r="145" spans="1:2" ht="12.75">
      <c r="A145" s="198" t="s">
        <v>0</v>
      </c>
      <c r="B145" s="165">
        <v>0</v>
      </c>
    </row>
    <row r="146" spans="1:2" ht="12.75">
      <c r="A146" s="198" t="s">
        <v>1</v>
      </c>
      <c r="B146" s="165">
        <v>22872</v>
      </c>
    </row>
    <row r="147" spans="1:2" ht="12.75">
      <c r="A147" s="198" t="s">
        <v>2</v>
      </c>
      <c r="B147" s="165">
        <v>620</v>
      </c>
    </row>
    <row r="148" spans="1:2" ht="12.75">
      <c r="A148" s="198" t="s">
        <v>3</v>
      </c>
      <c r="B148" s="165">
        <v>1632</v>
      </c>
    </row>
    <row r="149" spans="1:2" ht="12.75">
      <c r="A149" s="198" t="s">
        <v>4</v>
      </c>
      <c r="B149" s="165">
        <v>-5494</v>
      </c>
    </row>
    <row r="150" spans="1:2" ht="24">
      <c r="A150" s="196" t="s">
        <v>5</v>
      </c>
      <c r="B150" s="202">
        <v>-198601</v>
      </c>
    </row>
    <row r="151" spans="1:2" ht="12.75">
      <c r="A151" s="196" t="s">
        <v>6</v>
      </c>
      <c r="B151" s="203">
        <v>1168569</v>
      </c>
    </row>
    <row r="152" spans="1:2" ht="12.75">
      <c r="A152" s="198" t="s">
        <v>7</v>
      </c>
      <c r="B152" s="165">
        <v>0</v>
      </c>
    </row>
    <row r="153" spans="1:2" ht="12.75">
      <c r="A153" s="198" t="s">
        <v>8</v>
      </c>
      <c r="B153" s="165">
        <v>1966</v>
      </c>
    </row>
    <row r="154" spans="1:2" ht="12.75">
      <c r="A154" s="198" t="s">
        <v>9</v>
      </c>
      <c r="B154" s="165">
        <v>0</v>
      </c>
    </row>
    <row r="155" spans="1:2" ht="12.75">
      <c r="A155" s="198" t="s">
        <v>10</v>
      </c>
      <c r="B155" s="165">
        <v>0</v>
      </c>
    </row>
    <row r="156" spans="1:2" ht="12.75">
      <c r="A156" s="198" t="s">
        <v>11</v>
      </c>
      <c r="B156" s="165">
        <v>0</v>
      </c>
    </row>
    <row r="157" spans="1:2" ht="36">
      <c r="A157" s="198" t="s">
        <v>12</v>
      </c>
      <c r="B157" s="204">
        <v>1166603</v>
      </c>
    </row>
    <row r="158" spans="1:2" ht="12.75">
      <c r="A158" s="198" t="s">
        <v>13</v>
      </c>
      <c r="B158" s="205">
        <v>0</v>
      </c>
    </row>
    <row r="159" spans="1:2" ht="12.75">
      <c r="A159" s="196" t="s">
        <v>14</v>
      </c>
      <c r="B159" s="189">
        <v>1367170</v>
      </c>
    </row>
    <row r="160" spans="1:2" ht="12.75">
      <c r="A160" s="198" t="s">
        <v>15</v>
      </c>
      <c r="B160" s="165">
        <v>295</v>
      </c>
    </row>
    <row r="161" spans="1:2" ht="12.75">
      <c r="A161" s="200" t="s">
        <v>16</v>
      </c>
      <c r="B161" s="165">
        <v>5862</v>
      </c>
    </row>
    <row r="162" spans="1:2" ht="12.75">
      <c r="A162" s="198" t="s">
        <v>17</v>
      </c>
      <c r="B162" s="165">
        <v>1501</v>
      </c>
    </row>
    <row r="163" spans="1:2" ht="12.75">
      <c r="A163" s="198" t="s">
        <v>18</v>
      </c>
      <c r="B163" s="165">
        <v>0</v>
      </c>
    </row>
    <row r="164" spans="1:2" ht="12.75">
      <c r="A164" s="198" t="s">
        <v>19</v>
      </c>
      <c r="B164" s="165">
        <v>0</v>
      </c>
    </row>
    <row r="165" spans="1:2" ht="36">
      <c r="A165" s="198" t="s">
        <v>20</v>
      </c>
      <c r="B165" s="165">
        <v>1355595</v>
      </c>
    </row>
    <row r="166" spans="1:2" ht="12.75">
      <c r="A166" s="198" t="s">
        <v>21</v>
      </c>
      <c r="B166" s="165">
        <v>0</v>
      </c>
    </row>
    <row r="167" spans="1:2" ht="12.75">
      <c r="A167" s="198" t="s">
        <v>22</v>
      </c>
      <c r="B167" s="165">
        <v>3917</v>
      </c>
    </row>
    <row r="168" spans="1:2" ht="24">
      <c r="A168" s="196" t="s">
        <v>23</v>
      </c>
      <c r="B168" s="206">
        <v>-32</v>
      </c>
    </row>
    <row r="169" spans="1:2" ht="12.75">
      <c r="A169" s="196" t="s">
        <v>24</v>
      </c>
      <c r="B169" s="207">
        <v>0</v>
      </c>
    </row>
    <row r="170" spans="1:2" ht="12.75">
      <c r="A170" s="198" t="s">
        <v>25</v>
      </c>
      <c r="B170" s="165">
        <v>0</v>
      </c>
    </row>
    <row r="171" spans="1:2" ht="24">
      <c r="A171" s="198" t="s">
        <v>26</v>
      </c>
      <c r="B171" s="165">
        <v>0</v>
      </c>
    </row>
    <row r="172" spans="1:2" ht="24">
      <c r="A172" s="198" t="s">
        <v>27</v>
      </c>
      <c r="B172" s="165">
        <v>0</v>
      </c>
    </row>
    <row r="173" spans="1:2" ht="12.75">
      <c r="A173" s="198" t="s">
        <v>28</v>
      </c>
      <c r="B173" s="165">
        <v>0</v>
      </c>
    </row>
    <row r="174" spans="1:2" ht="12.75">
      <c r="A174" s="198" t="s">
        <v>29</v>
      </c>
      <c r="B174" s="165">
        <v>0</v>
      </c>
    </row>
    <row r="175" spans="1:2" ht="12.75">
      <c r="A175" s="198" t="s">
        <v>30</v>
      </c>
      <c r="B175" s="165">
        <v>0</v>
      </c>
    </row>
    <row r="176" spans="1:2" ht="12.75">
      <c r="A176" s="198" t="s">
        <v>13</v>
      </c>
      <c r="B176" s="208">
        <v>0</v>
      </c>
    </row>
    <row r="177" spans="1:2" ht="12.75">
      <c r="A177" s="196" t="s">
        <v>31</v>
      </c>
      <c r="B177" s="189">
        <v>32</v>
      </c>
    </row>
    <row r="178" spans="1:2" ht="12.75">
      <c r="A178" s="198" t="s">
        <v>32</v>
      </c>
      <c r="B178" s="165">
        <v>0</v>
      </c>
    </row>
    <row r="179" spans="1:2" ht="24">
      <c r="A179" s="198" t="s">
        <v>33</v>
      </c>
      <c r="B179" s="165">
        <v>0</v>
      </c>
    </row>
    <row r="180" spans="1:2" ht="24">
      <c r="A180" s="198" t="s">
        <v>34</v>
      </c>
      <c r="B180" s="165">
        <v>0</v>
      </c>
    </row>
    <row r="181" spans="1:2" ht="12.75">
      <c r="A181" s="198" t="s">
        <v>35</v>
      </c>
      <c r="B181" s="165">
        <v>32</v>
      </c>
    </row>
    <row r="182" spans="1:2" ht="12.75">
      <c r="A182" s="198" t="s">
        <v>36</v>
      </c>
      <c r="B182" s="165">
        <v>0</v>
      </c>
    </row>
    <row r="183" spans="1:2" ht="12.75">
      <c r="A183" s="198" t="s">
        <v>37</v>
      </c>
      <c r="B183" s="165">
        <v>0</v>
      </c>
    </row>
    <row r="184" spans="1:2" ht="12.75">
      <c r="A184" s="198" t="s">
        <v>38</v>
      </c>
      <c r="B184" s="165">
        <v>0</v>
      </c>
    </row>
    <row r="185" spans="1:2" ht="12.75">
      <c r="A185" s="198" t="s">
        <v>39</v>
      </c>
      <c r="B185" s="165">
        <v>0</v>
      </c>
    </row>
    <row r="186" spans="1:2" ht="12.75">
      <c r="A186" s="198" t="s">
        <v>40</v>
      </c>
      <c r="B186" s="165">
        <v>0</v>
      </c>
    </row>
    <row r="187" spans="1:2" ht="12.75">
      <c r="A187" s="198" t="s">
        <v>41</v>
      </c>
      <c r="B187" s="165">
        <v>0</v>
      </c>
    </row>
    <row r="188" spans="1:2" ht="12.75">
      <c r="A188" s="198" t="s">
        <v>42</v>
      </c>
      <c r="B188" s="165">
        <v>0</v>
      </c>
    </row>
    <row r="189" spans="1:2" ht="12.75">
      <c r="A189" s="196" t="s">
        <v>43</v>
      </c>
      <c r="B189" s="209">
        <v>63236</v>
      </c>
    </row>
    <row r="190" spans="1:2" ht="12.75">
      <c r="A190" s="196" t="s">
        <v>44</v>
      </c>
      <c r="B190" s="209">
        <v>63236</v>
      </c>
    </row>
    <row r="191" spans="1:2" ht="24">
      <c r="A191" s="210" t="s">
        <v>45</v>
      </c>
      <c r="B191" s="211">
        <v>-624</v>
      </c>
    </row>
    <row r="192" spans="1:2" ht="12.75">
      <c r="A192" s="210" t="s">
        <v>46</v>
      </c>
      <c r="B192" s="209">
        <v>63611</v>
      </c>
    </row>
    <row r="193" spans="1:2" ht="13.5" thickBot="1">
      <c r="A193" s="212" t="s">
        <v>47</v>
      </c>
      <c r="B193" s="213">
        <v>126847</v>
      </c>
    </row>
    <row r="194" ht="13.5" thickTop="1"/>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D71"/>
  <sheetViews>
    <sheetView workbookViewId="0" topLeftCell="B47">
      <selection activeCell="C69" sqref="C69"/>
    </sheetView>
  </sheetViews>
  <sheetFormatPr defaultColWidth="9.140625" defaultRowHeight="12.75"/>
  <cols>
    <col min="1" max="1" width="83.28125" style="0" customWidth="1"/>
    <col min="2" max="2" width="11.7109375" style="0" bestFit="1" customWidth="1"/>
    <col min="3" max="3" width="79.7109375" style="0" customWidth="1"/>
    <col min="4" max="4" width="11.7109375" style="0" bestFit="1" customWidth="1"/>
  </cols>
  <sheetData>
    <row r="1" ht="12.75">
      <c r="A1" s="28" t="s">
        <v>1393</v>
      </c>
    </row>
    <row r="2" ht="12.75">
      <c r="B2" s="28" t="s">
        <v>505</v>
      </c>
    </row>
    <row r="3" spans="1:4" ht="15.75">
      <c r="A3" s="328" t="s">
        <v>1578</v>
      </c>
      <c r="B3" s="329">
        <v>37103</v>
      </c>
      <c r="C3" s="330" t="s">
        <v>430</v>
      </c>
      <c r="D3" s="329">
        <v>37103</v>
      </c>
    </row>
    <row r="4" spans="1:4" ht="12.75">
      <c r="A4" s="331" t="s">
        <v>1581</v>
      </c>
      <c r="B4" s="332">
        <f>B5+B11+B19+B24</f>
        <v>512053.87000000005</v>
      </c>
      <c r="C4" s="333" t="s">
        <v>431</v>
      </c>
      <c r="D4" s="332">
        <f>D5+D6+D7+D13+D14+D15+D18</f>
        <v>2207462.09</v>
      </c>
    </row>
    <row r="5" spans="1:4" ht="12.75">
      <c r="A5" s="334" t="s">
        <v>432</v>
      </c>
      <c r="B5" s="335">
        <f>SUM(B6:B10)</f>
        <v>12940.4</v>
      </c>
      <c r="C5" s="336" t="s">
        <v>1628</v>
      </c>
      <c r="D5" s="335">
        <v>5000000</v>
      </c>
    </row>
    <row r="6" spans="1:4" ht="12.75">
      <c r="A6" s="334" t="s">
        <v>433</v>
      </c>
      <c r="B6" s="335">
        <v>0</v>
      </c>
      <c r="C6" s="337" t="s">
        <v>434</v>
      </c>
      <c r="D6" s="335">
        <v>0</v>
      </c>
    </row>
    <row r="7" spans="1:4" ht="12.75">
      <c r="A7" s="338" t="s">
        <v>435</v>
      </c>
      <c r="B7" s="335">
        <v>0</v>
      </c>
      <c r="C7" s="337" t="s">
        <v>1630</v>
      </c>
      <c r="D7" s="335">
        <f>SUM(D8:D12)</f>
        <v>0</v>
      </c>
    </row>
    <row r="8" spans="1:4" ht="12.75">
      <c r="A8" s="339" t="s">
        <v>436</v>
      </c>
      <c r="B8" s="335">
        <v>0</v>
      </c>
      <c r="C8" s="337" t="s">
        <v>437</v>
      </c>
      <c r="D8" s="335">
        <v>0</v>
      </c>
    </row>
    <row r="9" spans="1:4" ht="12.75">
      <c r="A9" s="339" t="s">
        <v>438</v>
      </c>
      <c r="B9" s="335">
        <v>12940.4</v>
      </c>
      <c r="C9" s="337" t="s">
        <v>439</v>
      </c>
      <c r="D9" s="335">
        <v>0</v>
      </c>
    </row>
    <row r="10" spans="1:4" ht="12.75">
      <c r="A10" s="334" t="s">
        <v>440</v>
      </c>
      <c r="B10" s="335">
        <v>0</v>
      </c>
      <c r="C10" s="337" t="s">
        <v>441</v>
      </c>
      <c r="D10" s="335">
        <v>0</v>
      </c>
    </row>
    <row r="11" spans="1:4" ht="12.75">
      <c r="A11" s="338" t="s">
        <v>1588</v>
      </c>
      <c r="B11" s="335">
        <f>SUM(B12:B18)</f>
        <v>499113.47000000003</v>
      </c>
      <c r="C11" s="337" t="s">
        <v>442</v>
      </c>
      <c r="D11" s="335">
        <v>0</v>
      </c>
    </row>
    <row r="12" spans="1:4" ht="12.75">
      <c r="A12" s="338" t="s">
        <v>443</v>
      </c>
      <c r="B12" s="335">
        <v>0</v>
      </c>
      <c r="C12" s="340" t="s">
        <v>444</v>
      </c>
      <c r="D12" s="335">
        <v>0</v>
      </c>
    </row>
    <row r="13" spans="1:4" ht="12.75">
      <c r="A13" s="334" t="s">
        <v>445</v>
      </c>
      <c r="B13" s="335">
        <v>0</v>
      </c>
      <c r="C13" s="337" t="s">
        <v>1636</v>
      </c>
      <c r="D13" s="335">
        <v>0</v>
      </c>
    </row>
    <row r="14" spans="1:4" ht="12.75">
      <c r="A14" s="339" t="s">
        <v>446</v>
      </c>
      <c r="B14" s="335">
        <v>264307.13</v>
      </c>
      <c r="C14" s="337" t="s">
        <v>447</v>
      </c>
      <c r="D14" s="335">
        <v>0</v>
      </c>
    </row>
    <row r="15" spans="1:4" ht="12.75">
      <c r="A15" s="339" t="s">
        <v>448</v>
      </c>
      <c r="B15" s="335">
        <v>140594.77</v>
      </c>
      <c r="C15" s="337" t="s">
        <v>1638</v>
      </c>
      <c r="D15" s="335">
        <f>SUM(D16:D17)</f>
        <v>0</v>
      </c>
    </row>
    <row r="16" spans="1:4" ht="12.75">
      <c r="A16" s="339" t="s">
        <v>449</v>
      </c>
      <c r="B16" s="335">
        <v>18424.57</v>
      </c>
      <c r="C16" s="337" t="s">
        <v>450</v>
      </c>
      <c r="D16" s="335">
        <v>0</v>
      </c>
    </row>
    <row r="17" spans="1:4" ht="12.75">
      <c r="A17" s="339" t="s">
        <v>451</v>
      </c>
      <c r="B17" s="335">
        <v>75787</v>
      </c>
      <c r="C17" s="340" t="s">
        <v>452</v>
      </c>
      <c r="D17" s="335">
        <v>0</v>
      </c>
    </row>
    <row r="18" spans="1:4" ht="12.75">
      <c r="A18" s="339" t="s">
        <v>453</v>
      </c>
      <c r="B18" s="335">
        <v>0</v>
      </c>
      <c r="C18" s="340" t="s">
        <v>1641</v>
      </c>
      <c r="D18" s="335">
        <f>SUM(D19:D21)</f>
        <v>-2792537.91</v>
      </c>
    </row>
    <row r="19" spans="1:4" ht="12.75">
      <c r="A19" s="339" t="s">
        <v>1596</v>
      </c>
      <c r="B19" s="335">
        <f>SUM(B20:B23)</f>
        <v>0</v>
      </c>
      <c r="C19" s="340" t="s">
        <v>454</v>
      </c>
      <c r="D19" s="335">
        <v>0</v>
      </c>
    </row>
    <row r="20" spans="1:4" ht="12.75">
      <c r="A20" s="339" t="s">
        <v>455</v>
      </c>
      <c r="B20" s="335">
        <v>0</v>
      </c>
      <c r="C20" s="340" t="s">
        <v>456</v>
      </c>
      <c r="D20" s="335">
        <v>-2792537.91</v>
      </c>
    </row>
    <row r="21" spans="1:4" ht="12.75">
      <c r="A21" s="339" t="s">
        <v>457</v>
      </c>
      <c r="B21" s="335">
        <v>0</v>
      </c>
      <c r="C21" s="337" t="s">
        <v>458</v>
      </c>
      <c r="D21" s="335">
        <v>0</v>
      </c>
    </row>
    <row r="22" spans="1:4" ht="12.75">
      <c r="A22" s="339" t="s">
        <v>459</v>
      </c>
      <c r="B22" s="335">
        <v>0</v>
      </c>
      <c r="C22" s="341" t="s">
        <v>1644</v>
      </c>
      <c r="D22" s="342">
        <f>SUM(D23:D24)</f>
        <v>0</v>
      </c>
    </row>
    <row r="23" spans="1:4" ht="12.75">
      <c r="A23" s="339" t="s">
        <v>460</v>
      </c>
      <c r="B23" s="335">
        <v>0</v>
      </c>
      <c r="C23" s="336" t="s">
        <v>461</v>
      </c>
      <c r="D23" s="335">
        <v>0</v>
      </c>
    </row>
    <row r="24" spans="1:4" ht="12.75">
      <c r="A24" s="338" t="s">
        <v>1601</v>
      </c>
      <c r="B24" s="335">
        <v>0</v>
      </c>
      <c r="C24" s="340" t="s">
        <v>462</v>
      </c>
      <c r="D24" s="335">
        <v>0</v>
      </c>
    </row>
    <row r="25" spans="1:4" ht="12.75">
      <c r="A25" s="343" t="s">
        <v>1602</v>
      </c>
      <c r="B25" s="332">
        <f>B26+B32+B37+B40</f>
        <v>1914831.14</v>
      </c>
      <c r="C25" s="341" t="s">
        <v>1647</v>
      </c>
      <c r="D25" s="332">
        <f>SUM(D26:D28)</f>
        <v>0</v>
      </c>
    </row>
    <row r="26" spans="1:4" ht="12.75">
      <c r="A26" s="339" t="s">
        <v>463</v>
      </c>
      <c r="B26" s="335">
        <f>SUM(B27:B31)</f>
        <v>0</v>
      </c>
      <c r="C26" s="337" t="s">
        <v>464</v>
      </c>
      <c r="D26" s="335">
        <v>0</v>
      </c>
    </row>
    <row r="27" spans="1:4" ht="12.75">
      <c r="A27" s="334" t="s">
        <v>465</v>
      </c>
      <c r="B27" s="335">
        <v>0</v>
      </c>
      <c r="C27" s="337" t="s">
        <v>466</v>
      </c>
      <c r="D27" s="335">
        <v>0</v>
      </c>
    </row>
    <row r="28" spans="1:4" ht="12.75">
      <c r="A28" s="334" t="s">
        <v>467</v>
      </c>
      <c r="B28" s="335">
        <v>0</v>
      </c>
      <c r="C28" s="340" t="s">
        <v>468</v>
      </c>
      <c r="D28" s="335">
        <v>0</v>
      </c>
    </row>
    <row r="29" spans="1:4" ht="12.75">
      <c r="A29" s="334" t="s">
        <v>469</v>
      </c>
      <c r="B29" s="335">
        <v>0</v>
      </c>
      <c r="C29" s="344" t="s">
        <v>1651</v>
      </c>
      <c r="D29" s="342">
        <f>D30+D39</f>
        <v>239535.59</v>
      </c>
    </row>
    <row r="30" spans="1:4" ht="12.75">
      <c r="A30" s="334" t="s">
        <v>470</v>
      </c>
      <c r="B30" s="335">
        <v>0</v>
      </c>
      <c r="C30" s="337" t="s">
        <v>471</v>
      </c>
      <c r="D30" s="335">
        <f>SUM(D31:D38)</f>
        <v>239535.59</v>
      </c>
    </row>
    <row r="31" spans="1:4" ht="12.75">
      <c r="A31" s="334" t="s">
        <v>472</v>
      </c>
      <c r="B31" s="335">
        <v>0</v>
      </c>
      <c r="C31" s="340" t="s">
        <v>473</v>
      </c>
      <c r="D31" s="335">
        <v>0</v>
      </c>
    </row>
    <row r="32" spans="1:4" ht="12.75">
      <c r="A32" s="339" t="s">
        <v>474</v>
      </c>
      <c r="B32" s="335">
        <f>SUM(B33:B36)</f>
        <v>462819.27</v>
      </c>
      <c r="C32" s="340" t="s">
        <v>475</v>
      </c>
      <c r="D32" s="335">
        <v>0</v>
      </c>
    </row>
    <row r="33" spans="1:4" ht="12.75">
      <c r="A33" s="334" t="s">
        <v>476</v>
      </c>
      <c r="B33" s="335">
        <v>0</v>
      </c>
      <c r="C33" s="340" t="s">
        <v>477</v>
      </c>
      <c r="D33" s="335">
        <v>0</v>
      </c>
    </row>
    <row r="34" spans="1:4" ht="12.75">
      <c r="A34" s="334" t="s">
        <v>478</v>
      </c>
      <c r="B34" s="335">
        <v>356628.06</v>
      </c>
      <c r="C34" s="340" t="s">
        <v>479</v>
      </c>
      <c r="D34" s="335">
        <v>147082.38</v>
      </c>
    </row>
    <row r="35" spans="1:4" ht="12.75">
      <c r="A35" s="334" t="s">
        <v>480</v>
      </c>
      <c r="B35" s="335">
        <v>106191.21</v>
      </c>
      <c r="C35" s="340" t="s">
        <v>481</v>
      </c>
      <c r="D35" s="335">
        <v>0</v>
      </c>
    </row>
    <row r="36" spans="1:4" ht="12.75">
      <c r="A36" s="334" t="s">
        <v>482</v>
      </c>
      <c r="B36" s="335">
        <v>0</v>
      </c>
      <c r="C36" s="337" t="s">
        <v>483</v>
      </c>
      <c r="D36" s="335">
        <v>88064.56</v>
      </c>
    </row>
    <row r="37" spans="1:4" ht="12.75">
      <c r="A37" s="334" t="s">
        <v>484</v>
      </c>
      <c r="B37" s="335">
        <f>SUM(B38:B39)</f>
        <v>0</v>
      </c>
      <c r="C37" s="340" t="s">
        <v>485</v>
      </c>
      <c r="D37" s="335">
        <v>3854.57</v>
      </c>
    </row>
    <row r="38" spans="1:4" ht="12.75">
      <c r="A38" s="334" t="s">
        <v>486</v>
      </c>
      <c r="B38" s="335">
        <v>0</v>
      </c>
      <c r="C38" s="337" t="s">
        <v>487</v>
      </c>
      <c r="D38" s="335">
        <v>534.08</v>
      </c>
    </row>
    <row r="39" spans="1:4" ht="12.75">
      <c r="A39" s="334" t="s">
        <v>488</v>
      </c>
      <c r="B39" s="335">
        <v>0</v>
      </c>
      <c r="C39" s="336" t="s">
        <v>1662</v>
      </c>
      <c r="D39" s="335">
        <v>0</v>
      </c>
    </row>
    <row r="40" spans="1:4" ht="12.75">
      <c r="A40" s="339" t="s">
        <v>1618</v>
      </c>
      <c r="B40" s="335">
        <f>SUM(B41:B43)</f>
        <v>1452011.8699999999</v>
      </c>
      <c r="C40" s="344" t="s">
        <v>489</v>
      </c>
      <c r="D40" s="342">
        <f>SUM(D41:D42)</f>
        <v>0</v>
      </c>
    </row>
    <row r="41" spans="1:4" ht="12.75">
      <c r="A41" s="339" t="s">
        <v>490</v>
      </c>
      <c r="B41" s="335">
        <v>2643.97</v>
      </c>
      <c r="C41" s="340" t="s">
        <v>491</v>
      </c>
      <c r="D41" s="335">
        <v>0</v>
      </c>
    </row>
    <row r="42" spans="1:4" ht="12.75">
      <c r="A42" s="339" t="s">
        <v>492</v>
      </c>
      <c r="B42" s="335">
        <v>1449367.9</v>
      </c>
      <c r="C42" s="336" t="s">
        <v>493</v>
      </c>
      <c r="D42" s="335">
        <v>0</v>
      </c>
    </row>
    <row r="43" spans="1:4" ht="12.75">
      <c r="A43" s="339" t="s">
        <v>494</v>
      </c>
      <c r="B43" s="335">
        <v>0</v>
      </c>
      <c r="C43" s="345" t="s">
        <v>1666</v>
      </c>
      <c r="D43" s="342">
        <f>D40+D29+D25+D22+D4</f>
        <v>2446997.6799999997</v>
      </c>
    </row>
    <row r="44" spans="1:2" ht="12.75">
      <c r="A44" s="343" t="s">
        <v>1622</v>
      </c>
      <c r="B44" s="332">
        <f>SUM(B45:B46)</f>
        <v>20112.67</v>
      </c>
    </row>
    <row r="45" spans="1:2" ht="12.75">
      <c r="A45" s="338" t="s">
        <v>495</v>
      </c>
      <c r="B45" s="335">
        <v>20112.67</v>
      </c>
    </row>
    <row r="46" spans="1:2" ht="12.75">
      <c r="A46" s="338" t="s">
        <v>496</v>
      </c>
      <c r="B46" s="335">
        <v>0</v>
      </c>
    </row>
    <row r="47" spans="1:2" ht="12.75">
      <c r="A47" s="346" t="s">
        <v>1625</v>
      </c>
      <c r="B47" s="332">
        <f>B44+B25+B4</f>
        <v>2446997.6799999997</v>
      </c>
    </row>
    <row r="50" spans="1:4" ht="12.75">
      <c r="A50" s="347" t="s">
        <v>497</v>
      </c>
      <c r="B50" s="329">
        <v>37103</v>
      </c>
      <c r="C50" s="347" t="s">
        <v>498</v>
      </c>
      <c r="D50" s="329">
        <v>37103</v>
      </c>
    </row>
    <row r="51" spans="1:4" ht="12.75">
      <c r="A51" s="348" t="s">
        <v>75</v>
      </c>
      <c r="B51" s="349">
        <f>SUM(B52:B58)</f>
        <v>2983773.36</v>
      </c>
      <c r="C51" s="348" t="s">
        <v>1294</v>
      </c>
      <c r="D51" s="350">
        <f>SUM(D52:D53)</f>
        <v>0</v>
      </c>
    </row>
    <row r="52" spans="1:4" ht="12.75">
      <c r="A52" s="351" t="s">
        <v>499</v>
      </c>
      <c r="B52" s="352">
        <v>337432.19</v>
      </c>
      <c r="C52" s="353" t="s">
        <v>500</v>
      </c>
      <c r="D52" s="352">
        <v>0</v>
      </c>
    </row>
    <row r="53" spans="1:4" ht="12.75">
      <c r="A53" s="351" t="s">
        <v>77</v>
      </c>
      <c r="B53" s="352">
        <v>1080404.65</v>
      </c>
      <c r="C53" s="354" t="s">
        <v>1296</v>
      </c>
      <c r="D53" s="352">
        <v>0</v>
      </c>
    </row>
    <row r="54" spans="1:4" ht="12.75">
      <c r="A54" s="351" t="s">
        <v>78</v>
      </c>
      <c r="B54" s="352">
        <v>14663.5</v>
      </c>
      <c r="C54" s="355" t="s">
        <v>501</v>
      </c>
      <c r="D54" s="356">
        <f>IF(B59=0,D51-B51,0)</f>
        <v>-2983773.36</v>
      </c>
    </row>
    <row r="55" spans="1:4" ht="12.75">
      <c r="A55" s="351" t="s">
        <v>79</v>
      </c>
      <c r="B55" s="352">
        <v>1101535.62</v>
      </c>
      <c r="C55" s="355" t="s">
        <v>502</v>
      </c>
      <c r="D55" s="350">
        <f>SUM(D56:D57)</f>
        <v>3000.05</v>
      </c>
    </row>
    <row r="56" spans="1:4" ht="12.75">
      <c r="A56" s="351" t="s">
        <v>80</v>
      </c>
      <c r="B56" s="352">
        <v>252527.35</v>
      </c>
      <c r="C56" s="353" t="s">
        <v>407</v>
      </c>
      <c r="D56" s="352">
        <v>0</v>
      </c>
    </row>
    <row r="57" spans="1:4" ht="12.75">
      <c r="A57" s="351" t="s">
        <v>81</v>
      </c>
      <c r="B57" s="352">
        <v>123136.65</v>
      </c>
      <c r="C57" s="354" t="s">
        <v>503</v>
      </c>
      <c r="D57" s="352">
        <v>3000.05</v>
      </c>
    </row>
    <row r="58" spans="1:4" ht="12.75">
      <c r="A58" s="351" t="s">
        <v>82</v>
      </c>
      <c r="B58" s="352">
        <v>74073.4</v>
      </c>
      <c r="C58" s="355" t="s">
        <v>1394</v>
      </c>
      <c r="D58" s="356">
        <f>IF(D54=0,0,D54+D55-B60)</f>
        <v>-2984318.5</v>
      </c>
    </row>
    <row r="59" spans="1:4" ht="12.75">
      <c r="A59" s="348" t="s">
        <v>1395</v>
      </c>
      <c r="B59" s="350">
        <f>IF(D51-B51&gt;0,D51-B51,0)</f>
        <v>0</v>
      </c>
      <c r="C59" s="355" t="s">
        <v>1396</v>
      </c>
      <c r="D59" s="350">
        <f>SUM(D60:D61)</f>
        <v>5272091.73</v>
      </c>
    </row>
    <row r="60" spans="1:4" ht="12.75">
      <c r="A60" s="348" t="s">
        <v>1397</v>
      </c>
      <c r="B60" s="350">
        <f>SUM(B61:B62)</f>
        <v>3545.19</v>
      </c>
      <c r="C60" s="353" t="s">
        <v>1676</v>
      </c>
      <c r="D60" s="352">
        <v>152091.73</v>
      </c>
    </row>
    <row r="61" spans="1:4" ht="12.75">
      <c r="A61" s="351" t="s">
        <v>411</v>
      </c>
      <c r="B61" s="352">
        <v>0</v>
      </c>
      <c r="C61" s="354" t="s">
        <v>89</v>
      </c>
      <c r="D61" s="352">
        <v>5120000</v>
      </c>
    </row>
    <row r="62" spans="1:4" ht="12.75">
      <c r="A62" s="351" t="s">
        <v>412</v>
      </c>
      <c r="B62" s="352">
        <v>3545.19</v>
      </c>
      <c r="C62" s="355" t="s">
        <v>1398</v>
      </c>
      <c r="D62" s="356">
        <f>IF(D58=0,0,D58+D59-B64)</f>
        <v>-2792537.91</v>
      </c>
    </row>
    <row r="63" spans="1:4" ht="12.75">
      <c r="A63" s="348" t="s">
        <v>1399</v>
      </c>
      <c r="B63" s="350">
        <f>IF(B59=0,0,B59-B60+D55)</f>
        <v>0</v>
      </c>
      <c r="C63" s="355" t="s">
        <v>1400</v>
      </c>
      <c r="D63" s="350">
        <v>0</v>
      </c>
    </row>
    <row r="64" spans="1:4" ht="12.75">
      <c r="A64" s="348" t="s">
        <v>1401</v>
      </c>
      <c r="B64" s="350">
        <f>SUM(B65:B67)</f>
        <v>5080311.140000001</v>
      </c>
      <c r="C64" s="355" t="s">
        <v>1402</v>
      </c>
      <c r="D64" s="356">
        <f>IF(D62=0,0,D62+D63-B69)</f>
        <v>-2792537.91</v>
      </c>
    </row>
    <row r="65" spans="1:4" ht="12.75">
      <c r="A65" s="351" t="s">
        <v>1403</v>
      </c>
      <c r="B65" s="352">
        <v>0</v>
      </c>
      <c r="C65" s="355" t="s">
        <v>1404</v>
      </c>
      <c r="D65" s="356">
        <f>D64</f>
        <v>-2792537.91</v>
      </c>
    </row>
    <row r="66" spans="1:2" ht="12.75">
      <c r="A66" s="351" t="s">
        <v>1405</v>
      </c>
      <c r="B66" s="352">
        <v>191.41</v>
      </c>
    </row>
    <row r="67" spans="1:2" ht="12.75">
      <c r="A67" s="351" t="s">
        <v>62</v>
      </c>
      <c r="B67" s="352">
        <v>5080119.73</v>
      </c>
    </row>
    <row r="68" spans="1:2" ht="12.75">
      <c r="A68" s="348" t="s">
        <v>1406</v>
      </c>
      <c r="B68" s="350">
        <f>IF(B63=0,0,B63-B64+D59)</f>
        <v>0</v>
      </c>
    </row>
    <row r="69" spans="1:2" ht="12.75">
      <c r="A69" s="348" t="s">
        <v>1407</v>
      </c>
      <c r="B69" s="350">
        <v>0</v>
      </c>
    </row>
    <row r="70" spans="1:2" ht="12.75">
      <c r="A70" s="348" t="s">
        <v>1408</v>
      </c>
      <c r="B70" s="350">
        <f>IF(B68=0,0,B68-B69+D63)</f>
        <v>0</v>
      </c>
    </row>
    <row r="71" spans="1:2" ht="12.75">
      <c r="A71" s="348" t="s">
        <v>1409</v>
      </c>
      <c r="B71" s="350">
        <v>0</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3:C196"/>
  <sheetViews>
    <sheetView workbookViewId="0" topLeftCell="A1">
      <selection activeCell="C3" sqref="C3"/>
    </sheetView>
  </sheetViews>
  <sheetFormatPr defaultColWidth="9.140625" defaultRowHeight="12.75"/>
  <cols>
    <col min="1" max="1" width="45.140625" style="0" customWidth="1"/>
    <col min="2" max="2" width="22.57421875" style="0" customWidth="1"/>
    <col min="3" max="3" width="22.140625" style="0" customWidth="1"/>
  </cols>
  <sheetData>
    <row r="3" spans="1:3" ht="16.5" customHeight="1" thickBot="1">
      <c r="A3" s="28" t="s">
        <v>342</v>
      </c>
      <c r="B3" s="69"/>
      <c r="C3" s="493" t="s">
        <v>505</v>
      </c>
    </row>
    <row r="4" spans="1:3" ht="13.5" thickTop="1">
      <c r="A4" s="504" t="s">
        <v>1578</v>
      </c>
      <c r="B4" s="506" t="s">
        <v>1005</v>
      </c>
      <c r="C4" s="507"/>
    </row>
    <row r="5" spans="1:3" ht="12.75">
      <c r="A5" s="505"/>
      <c r="B5" s="72" t="s">
        <v>1006</v>
      </c>
      <c r="C5" s="73" t="s">
        <v>1007</v>
      </c>
    </row>
    <row r="6" spans="1:3" ht="12.75">
      <c r="A6" s="74">
        <v>1</v>
      </c>
      <c r="B6" s="75">
        <v>2</v>
      </c>
      <c r="C6" s="76">
        <v>3</v>
      </c>
    </row>
    <row r="7" spans="1:3" ht="12.75">
      <c r="A7" s="77" t="s">
        <v>1008</v>
      </c>
      <c r="B7" s="78">
        <f>SUM(B8:B11)</f>
        <v>7012213.76</v>
      </c>
      <c r="C7" s="79">
        <f>SUM(C8:C11)</f>
        <v>6074820.83</v>
      </c>
    </row>
    <row r="8" spans="1:3" ht="24">
      <c r="A8" s="80" t="s">
        <v>297</v>
      </c>
      <c r="B8" s="81">
        <v>23925</v>
      </c>
      <c r="C8" s="82">
        <v>45676.15</v>
      </c>
    </row>
    <row r="9" spans="1:3" ht="12.75">
      <c r="A9" s="83" t="s">
        <v>298</v>
      </c>
      <c r="B9" s="84">
        <v>0</v>
      </c>
      <c r="C9" s="82">
        <v>0</v>
      </c>
    </row>
    <row r="10" spans="1:3" ht="12.75">
      <c r="A10" s="83" t="s">
        <v>299</v>
      </c>
      <c r="B10" s="84">
        <v>6988288.76</v>
      </c>
      <c r="C10" s="82">
        <v>6029144.68</v>
      </c>
    </row>
    <row r="11" spans="1:3" ht="24">
      <c r="A11" s="80" t="s">
        <v>300</v>
      </c>
      <c r="B11" s="84">
        <v>0</v>
      </c>
      <c r="C11" s="82">
        <v>0</v>
      </c>
    </row>
    <row r="12" spans="1:3" ht="12.75">
      <c r="A12" s="77" t="s">
        <v>301</v>
      </c>
      <c r="B12" s="78">
        <f>B13+B17+B22+B30</f>
        <v>16091181.9</v>
      </c>
      <c r="C12" s="79">
        <f>C13+C17+C22+C30</f>
        <v>14165840.040000001</v>
      </c>
    </row>
    <row r="13" spans="1:3" ht="12.75">
      <c r="A13" s="83" t="s">
        <v>302</v>
      </c>
      <c r="B13" s="85">
        <f>SUM(B14:B16)</f>
        <v>0</v>
      </c>
      <c r="C13" s="86">
        <f>SUM(C14:C16)</f>
        <v>0</v>
      </c>
    </row>
    <row r="14" spans="1:3" ht="12.75">
      <c r="A14" s="83" t="s">
        <v>1589</v>
      </c>
      <c r="B14" s="84">
        <v>0</v>
      </c>
      <c r="C14" s="82">
        <v>0</v>
      </c>
    </row>
    <row r="15" spans="1:3" ht="12.75">
      <c r="A15" s="83" t="s">
        <v>1590</v>
      </c>
      <c r="B15" s="84">
        <v>0</v>
      </c>
      <c r="C15" s="82">
        <v>0</v>
      </c>
    </row>
    <row r="16" spans="1:3" ht="24">
      <c r="A16" s="83" t="s">
        <v>303</v>
      </c>
      <c r="B16" s="84">
        <v>0</v>
      </c>
      <c r="C16" s="82">
        <v>0</v>
      </c>
    </row>
    <row r="17" spans="1:3" ht="12.75">
      <c r="A17" s="83" t="s">
        <v>304</v>
      </c>
      <c r="B17" s="85">
        <f>SUM(B18:B21)</f>
        <v>0</v>
      </c>
      <c r="C17" s="86">
        <f>SUM(C18:C21)</f>
        <v>0</v>
      </c>
    </row>
    <row r="18" spans="1:3" ht="24">
      <c r="A18" s="80" t="s">
        <v>305</v>
      </c>
      <c r="B18" s="84">
        <v>0</v>
      </c>
      <c r="C18" s="82">
        <v>0</v>
      </c>
    </row>
    <row r="19" spans="1:3" ht="36">
      <c r="A19" s="83" t="s">
        <v>306</v>
      </c>
      <c r="B19" s="84">
        <v>0</v>
      </c>
      <c r="C19" s="82">
        <v>0</v>
      </c>
    </row>
    <row r="20" spans="1:3" ht="12.75">
      <c r="A20" s="83" t="s">
        <v>307</v>
      </c>
      <c r="B20" s="84">
        <v>0</v>
      </c>
      <c r="C20" s="82">
        <v>0</v>
      </c>
    </row>
    <row r="21" spans="1:3" ht="36">
      <c r="A21" s="83" t="s">
        <v>308</v>
      </c>
      <c r="B21" s="84">
        <v>0</v>
      </c>
      <c r="C21" s="82">
        <v>0</v>
      </c>
    </row>
    <row r="22" spans="1:3" ht="12.75">
      <c r="A22" s="83" t="s">
        <v>309</v>
      </c>
      <c r="B22" s="85">
        <f>SUM(B23:B29)</f>
        <v>16091181.9</v>
      </c>
      <c r="C22" s="86">
        <f>SUM(C23:C29)</f>
        <v>14165840.040000001</v>
      </c>
    </row>
    <row r="23" spans="1:3" ht="36">
      <c r="A23" s="83" t="s">
        <v>310</v>
      </c>
      <c r="B23" s="84">
        <v>0</v>
      </c>
      <c r="C23" s="82">
        <v>0</v>
      </c>
    </row>
    <row r="24" spans="1:3" ht="24">
      <c r="A24" s="83" t="s">
        <v>311</v>
      </c>
      <c r="B24" s="84">
        <v>937181.9</v>
      </c>
      <c r="C24" s="82">
        <v>3543355.81</v>
      </c>
    </row>
    <row r="25" spans="1:3" ht="12.75">
      <c r="A25" s="83" t="s">
        <v>312</v>
      </c>
      <c r="B25" s="84">
        <v>0</v>
      </c>
      <c r="C25" s="82">
        <v>0</v>
      </c>
    </row>
    <row r="26" spans="1:3" ht="12.75">
      <c r="A26" s="83" t="s">
        <v>313</v>
      </c>
      <c r="B26" s="84">
        <v>0</v>
      </c>
      <c r="C26" s="82">
        <v>0</v>
      </c>
    </row>
    <row r="27" spans="1:3" ht="12.75">
      <c r="A27" s="83" t="s">
        <v>314</v>
      </c>
      <c r="B27" s="84">
        <v>0</v>
      </c>
      <c r="C27" s="82">
        <v>0</v>
      </c>
    </row>
    <row r="28" spans="1:3" ht="12.75">
      <c r="A28" s="83" t="s">
        <v>315</v>
      </c>
      <c r="B28" s="84">
        <v>15154000</v>
      </c>
      <c r="C28" s="82">
        <v>10622484.23</v>
      </c>
    </row>
    <row r="29" spans="1:3" ht="12.75">
      <c r="A29" s="83" t="s">
        <v>316</v>
      </c>
      <c r="B29" s="84">
        <v>0</v>
      </c>
      <c r="C29" s="82">
        <v>0</v>
      </c>
    </row>
    <row r="30" spans="1:3" ht="12.75">
      <c r="A30" s="83" t="s">
        <v>317</v>
      </c>
      <c r="B30" s="84">
        <v>0</v>
      </c>
      <c r="C30" s="82">
        <v>0</v>
      </c>
    </row>
    <row r="31" spans="1:3" ht="24">
      <c r="A31" s="77" t="s">
        <v>318</v>
      </c>
      <c r="B31" s="87">
        <v>9468534.69</v>
      </c>
      <c r="C31" s="88">
        <v>12240076.79</v>
      </c>
    </row>
    <row r="32" spans="1:3" ht="12.75">
      <c r="A32" s="77" t="s">
        <v>319</v>
      </c>
      <c r="B32" s="78">
        <f>B33+B37+B38</f>
        <v>2728812.2</v>
      </c>
      <c r="C32" s="79">
        <f>C33+C37+C38</f>
        <v>2829170.42</v>
      </c>
    </row>
    <row r="33" spans="1:3" ht="24">
      <c r="A33" s="83" t="s">
        <v>320</v>
      </c>
      <c r="B33" s="85">
        <f>SUM(B34:B36)</f>
        <v>1282665.42</v>
      </c>
      <c r="C33" s="86">
        <f>SUM(C34:C36)</f>
        <v>1447971.3399999999</v>
      </c>
    </row>
    <row r="34" spans="1:3" ht="12.75">
      <c r="A34" s="83" t="s">
        <v>321</v>
      </c>
      <c r="B34" s="84">
        <v>667566.07</v>
      </c>
      <c r="C34" s="82">
        <v>932227.32</v>
      </c>
    </row>
    <row r="35" spans="1:3" ht="12.75">
      <c r="A35" s="83" t="s">
        <v>322</v>
      </c>
      <c r="B35" s="84">
        <v>615099.35</v>
      </c>
      <c r="C35" s="82">
        <v>515744.02</v>
      </c>
    </row>
    <row r="36" spans="1:3" ht="12.75">
      <c r="A36" s="83" t="s">
        <v>323</v>
      </c>
      <c r="B36" s="84">
        <v>0</v>
      </c>
      <c r="C36" s="82">
        <v>0</v>
      </c>
    </row>
    <row r="37" spans="1:3" ht="12.75">
      <c r="A37" s="83" t="s">
        <v>324</v>
      </c>
      <c r="B37" s="84">
        <v>10072.98</v>
      </c>
      <c r="C37" s="82">
        <v>2061.65</v>
      </c>
    </row>
    <row r="38" spans="1:3" ht="12.75">
      <c r="A38" s="83" t="s">
        <v>325</v>
      </c>
      <c r="B38" s="85">
        <f>SUM(B39:B40)</f>
        <v>1436073.8</v>
      </c>
      <c r="C38" s="86">
        <f>SUM(C39:C40)</f>
        <v>1379137.43</v>
      </c>
    </row>
    <row r="39" spans="1:3" ht="12.75">
      <c r="A39" s="83" t="s">
        <v>326</v>
      </c>
      <c r="B39" s="84">
        <v>9122.98</v>
      </c>
      <c r="C39" s="82">
        <v>0</v>
      </c>
    </row>
    <row r="40" spans="1:3" ht="12.75">
      <c r="A40" s="83" t="s">
        <v>327</v>
      </c>
      <c r="B40" s="84">
        <v>1426950.82</v>
      </c>
      <c r="C40" s="82">
        <v>1379137.43</v>
      </c>
    </row>
    <row r="41" spans="1:3" ht="12.75">
      <c r="A41" s="77" t="s">
        <v>328</v>
      </c>
      <c r="B41" s="78">
        <f>B42+B47+B51++B52</f>
        <v>3302481.42</v>
      </c>
      <c r="C41" s="79">
        <f>C42+C47+C51+C52</f>
        <v>2894427.57</v>
      </c>
    </row>
    <row r="42" spans="1:3" ht="12.75">
      <c r="A42" s="83" t="s">
        <v>329</v>
      </c>
      <c r="B42" s="85">
        <f>SUM(B43:B46)</f>
        <v>2990092.52</v>
      </c>
      <c r="C42" s="86">
        <f>SUM(C43:C46)</f>
        <v>2771487.25</v>
      </c>
    </row>
    <row r="43" spans="1:3" ht="24">
      <c r="A43" s="83" t="s">
        <v>330</v>
      </c>
      <c r="B43" s="84">
        <v>2908428.39</v>
      </c>
      <c r="C43" s="82">
        <v>2754798.88</v>
      </c>
    </row>
    <row r="44" spans="1:3" ht="12.75">
      <c r="A44" s="83" t="s">
        <v>331</v>
      </c>
      <c r="B44" s="84">
        <v>63414.94</v>
      </c>
      <c r="C44" s="82">
        <v>0</v>
      </c>
    </row>
    <row r="45" spans="1:3" ht="12.75">
      <c r="A45" s="83" t="s">
        <v>332</v>
      </c>
      <c r="B45" s="84">
        <v>0</v>
      </c>
      <c r="C45" s="82">
        <v>0</v>
      </c>
    </row>
    <row r="46" spans="1:3" ht="12.75">
      <c r="A46" s="83" t="s">
        <v>333</v>
      </c>
      <c r="B46" s="84">
        <v>18249.19</v>
      </c>
      <c r="C46" s="82">
        <v>16688.37</v>
      </c>
    </row>
    <row r="47" spans="1:3" ht="12.75">
      <c r="A47" s="83" t="s">
        <v>334</v>
      </c>
      <c r="B47" s="85">
        <f>SUM(B48:B50)</f>
        <v>312388.9</v>
      </c>
      <c r="C47" s="86">
        <f>SUM(C48:C50)</f>
        <v>122940.31999999999</v>
      </c>
    </row>
    <row r="48" spans="1:3" ht="12.75">
      <c r="A48" s="83" t="s">
        <v>1619</v>
      </c>
      <c r="B48" s="84">
        <v>900.69</v>
      </c>
      <c r="C48" s="82">
        <v>6150.37</v>
      </c>
    </row>
    <row r="49" spans="1:3" ht="12.75">
      <c r="A49" s="83" t="s">
        <v>1620</v>
      </c>
      <c r="B49" s="84">
        <v>311462.13</v>
      </c>
      <c r="C49" s="82">
        <v>116763.87</v>
      </c>
    </row>
    <row r="50" spans="1:3" ht="12.75">
      <c r="A50" s="83" t="s">
        <v>335</v>
      </c>
      <c r="B50" s="84">
        <v>26.08</v>
      </c>
      <c r="C50" s="82">
        <v>26.08</v>
      </c>
    </row>
    <row r="51" spans="1:3" ht="12.75">
      <c r="A51" s="83" t="s">
        <v>336</v>
      </c>
      <c r="B51" s="84">
        <v>0</v>
      </c>
      <c r="C51" s="82">
        <v>0</v>
      </c>
    </row>
    <row r="52" spans="1:3" ht="12.75">
      <c r="A52" s="83" t="s">
        <v>337</v>
      </c>
      <c r="B52" s="84">
        <v>0</v>
      </c>
      <c r="C52" s="82">
        <v>0</v>
      </c>
    </row>
    <row r="53" spans="1:3" ht="12.75">
      <c r="A53" s="77" t="s">
        <v>338</v>
      </c>
      <c r="B53" s="78">
        <f>B54+B55</f>
        <v>2155490.35</v>
      </c>
      <c r="C53" s="79">
        <f>C54+C55</f>
        <v>2257827.44</v>
      </c>
    </row>
    <row r="54" spans="1:3" ht="12.75">
      <c r="A54" s="83" t="s">
        <v>339</v>
      </c>
      <c r="B54" s="84">
        <v>240096.48</v>
      </c>
      <c r="C54" s="82">
        <v>77785.52</v>
      </c>
    </row>
    <row r="55" spans="1:3" ht="12.75">
      <c r="A55" s="83" t="s">
        <v>340</v>
      </c>
      <c r="B55" s="84">
        <v>1915393.87</v>
      </c>
      <c r="C55" s="82">
        <v>2180041.92</v>
      </c>
    </row>
    <row r="56" spans="1:3" ht="13.5" thickBot="1">
      <c r="A56" s="89" t="s">
        <v>341</v>
      </c>
      <c r="B56" s="90">
        <f>B7+B12+B31+B32+B41+B53</f>
        <v>40758714.32000001</v>
      </c>
      <c r="C56" s="91">
        <f>C7+C12+C31+C32+C41+C53</f>
        <v>40462163.089999996</v>
      </c>
    </row>
    <row r="57" ht="13.5" thickTop="1"/>
    <row r="58" ht="13.5" thickBot="1"/>
    <row r="59" spans="1:3" ht="13.5" thickTop="1">
      <c r="A59" s="504" t="s">
        <v>1626</v>
      </c>
      <c r="B59" s="506" t="s">
        <v>1005</v>
      </c>
      <c r="C59" s="507"/>
    </row>
    <row r="60" spans="1:3" ht="12.75">
      <c r="A60" s="505"/>
      <c r="B60" s="72" t="s">
        <v>1006</v>
      </c>
      <c r="C60" s="73" t="s">
        <v>1007</v>
      </c>
    </row>
    <row r="61" spans="1:3" ht="12.75">
      <c r="A61" s="74">
        <v>1</v>
      </c>
      <c r="B61" s="75">
        <v>2</v>
      </c>
      <c r="C61" s="76">
        <v>3</v>
      </c>
    </row>
    <row r="62" spans="1:3" ht="12.75">
      <c r="A62" s="92" t="s">
        <v>343</v>
      </c>
      <c r="B62" s="78">
        <f>B63-B64+B65+B68+B69+B70+B73</f>
        <v>24958396.93</v>
      </c>
      <c r="C62" s="79">
        <f>C63-C64+C65+C68+C69+C70+C73</f>
        <v>22111576.410000008</v>
      </c>
    </row>
    <row r="63" spans="1:3" ht="12.75">
      <c r="A63" s="93" t="s">
        <v>344</v>
      </c>
      <c r="B63" s="84">
        <v>70750000</v>
      </c>
      <c r="C63" s="82">
        <v>82750000</v>
      </c>
    </row>
    <row r="64" spans="1:3" ht="24">
      <c r="A64" s="93" t="s">
        <v>345</v>
      </c>
      <c r="B64" s="84">
        <v>0</v>
      </c>
      <c r="C64" s="82">
        <v>0</v>
      </c>
    </row>
    <row r="65" spans="1:3" ht="12.75">
      <c r="A65" s="93" t="s">
        <v>346</v>
      </c>
      <c r="B65" s="85">
        <f>SUM(B66:B67)</f>
        <v>22250000</v>
      </c>
      <c r="C65" s="86">
        <f>SUM(C66:C67)</f>
        <v>22250000</v>
      </c>
    </row>
    <row r="66" spans="1:3" ht="12.75">
      <c r="A66" s="93" t="s">
        <v>347</v>
      </c>
      <c r="B66" s="84">
        <v>22250000</v>
      </c>
      <c r="C66" s="82">
        <v>22250000</v>
      </c>
    </row>
    <row r="67" spans="1:3" ht="12.75">
      <c r="A67" s="93" t="s">
        <v>348</v>
      </c>
      <c r="B67" s="84">
        <v>0</v>
      </c>
      <c r="C67" s="82">
        <v>0</v>
      </c>
    </row>
    <row r="68" spans="1:3" ht="12.75">
      <c r="A68" s="93" t="s">
        <v>349</v>
      </c>
      <c r="B68" s="84">
        <v>0</v>
      </c>
      <c r="C68" s="82">
        <v>0</v>
      </c>
    </row>
    <row r="69" spans="1:3" ht="12.75">
      <c r="A69" s="93" t="s">
        <v>350</v>
      </c>
      <c r="B69" s="84">
        <v>670725.56</v>
      </c>
      <c r="C69" s="82">
        <v>670725.56</v>
      </c>
    </row>
    <row r="70" spans="1:3" ht="12.75">
      <c r="A70" s="93" t="s">
        <v>1638</v>
      </c>
      <c r="B70" s="85">
        <f>B71-B72</f>
        <v>-45085046.1</v>
      </c>
      <c r="C70" s="86">
        <f>C71-C72</f>
        <v>-68712328.63</v>
      </c>
    </row>
    <row r="71" spans="1:3" ht="12.75">
      <c r="A71" s="93" t="s">
        <v>351</v>
      </c>
      <c r="B71" s="84">
        <v>0</v>
      </c>
      <c r="C71" s="82">
        <v>0</v>
      </c>
    </row>
    <row r="72" spans="1:3" ht="12.75">
      <c r="A72" s="93" t="s">
        <v>352</v>
      </c>
      <c r="B72" s="84">
        <v>45085046.1</v>
      </c>
      <c r="C72" s="82">
        <v>68712328.63</v>
      </c>
    </row>
    <row r="73" spans="1:3" ht="12.75">
      <c r="A73" s="93" t="s">
        <v>1641</v>
      </c>
      <c r="B73" s="85">
        <f>B74-B75</f>
        <v>-23627282.53</v>
      </c>
      <c r="C73" s="86">
        <f>C74-C75</f>
        <v>-14846820.52</v>
      </c>
    </row>
    <row r="74" spans="1:3" ht="12.75">
      <c r="A74" s="93" t="s">
        <v>353</v>
      </c>
      <c r="B74" s="84">
        <v>0</v>
      </c>
      <c r="C74" s="82">
        <v>0</v>
      </c>
    </row>
    <row r="75" spans="1:3" ht="12.75">
      <c r="A75" s="93" t="s">
        <v>352</v>
      </c>
      <c r="B75" s="84">
        <v>23627282.53</v>
      </c>
      <c r="C75" s="82">
        <v>14846820.52</v>
      </c>
    </row>
    <row r="76" spans="1:3" ht="12.75">
      <c r="A76" s="92" t="s">
        <v>354</v>
      </c>
      <c r="B76" s="87">
        <v>0</v>
      </c>
      <c r="C76" s="88">
        <v>0</v>
      </c>
    </row>
    <row r="77" spans="1:3" ht="12.75">
      <c r="A77" s="92" t="s">
        <v>355</v>
      </c>
      <c r="B77" s="78">
        <f>B78+B81+B84+B87+B90+B91</f>
        <v>1750566.48</v>
      </c>
      <c r="C77" s="79">
        <f>C78+C81+C84+C87+C90+C91</f>
        <v>2392222.6100000003</v>
      </c>
    </row>
    <row r="78" spans="1:3" ht="24">
      <c r="A78" s="93" t="s">
        <v>356</v>
      </c>
      <c r="B78" s="85">
        <f>B79-B80</f>
        <v>209066.79</v>
      </c>
      <c r="C78" s="86">
        <f>C79-C80</f>
        <v>235022.89</v>
      </c>
    </row>
    <row r="79" spans="1:3" ht="12.75">
      <c r="A79" s="93" t="s">
        <v>357</v>
      </c>
      <c r="B79" s="84">
        <v>209066.79</v>
      </c>
      <c r="C79" s="82">
        <v>235022.89</v>
      </c>
    </row>
    <row r="80" spans="1:3" ht="12.75">
      <c r="A80" s="93" t="s">
        <v>358</v>
      </c>
      <c r="B80" s="84">
        <v>0</v>
      </c>
      <c r="C80" s="82">
        <v>0</v>
      </c>
    </row>
    <row r="81" spans="1:3" ht="12.75">
      <c r="A81" s="93" t="s">
        <v>359</v>
      </c>
      <c r="B81" s="85">
        <f>B82-B83</f>
        <v>1212094.78</v>
      </c>
      <c r="C81" s="86">
        <f>C82-C83</f>
        <v>1764911.5</v>
      </c>
    </row>
    <row r="82" spans="1:3" ht="12.75">
      <c r="A82" s="93" t="s">
        <v>357</v>
      </c>
      <c r="B82" s="84">
        <v>1212094.78</v>
      </c>
      <c r="C82" s="82">
        <v>1764911.5</v>
      </c>
    </row>
    <row r="83" spans="1:3" ht="12.75">
      <c r="A83" s="93" t="s">
        <v>358</v>
      </c>
      <c r="B83" s="84">
        <v>0</v>
      </c>
      <c r="C83" s="82">
        <v>0</v>
      </c>
    </row>
    <row r="84" spans="1:3" ht="24">
      <c r="A84" s="93" t="s">
        <v>360</v>
      </c>
      <c r="B84" s="85">
        <f>B85-B86</f>
        <v>309208.77</v>
      </c>
      <c r="C84" s="86">
        <f>C85-C86</f>
        <v>361017.30999999994</v>
      </c>
    </row>
    <row r="85" spans="1:3" ht="12.75">
      <c r="A85" s="93" t="s">
        <v>361</v>
      </c>
      <c r="B85" s="84">
        <v>393311.49</v>
      </c>
      <c r="C85" s="82">
        <v>544482.83</v>
      </c>
    </row>
    <row r="86" spans="1:3" ht="12.75">
      <c r="A86" s="93" t="s">
        <v>358</v>
      </c>
      <c r="B86" s="84">
        <v>84102.72</v>
      </c>
      <c r="C86" s="82">
        <v>183465.52</v>
      </c>
    </row>
    <row r="87" spans="1:3" ht="12.75">
      <c r="A87" s="93" t="s">
        <v>362</v>
      </c>
      <c r="B87" s="85">
        <f>B88-B89</f>
        <v>20196.14</v>
      </c>
      <c r="C87" s="86">
        <f>C88-C89</f>
        <v>31270.91</v>
      </c>
    </row>
    <row r="88" spans="1:3" ht="12.75">
      <c r="A88" s="93" t="s">
        <v>361</v>
      </c>
      <c r="B88" s="84">
        <v>20196.14</v>
      </c>
      <c r="C88" s="82">
        <v>31270.91</v>
      </c>
    </row>
    <row r="89" spans="1:3" ht="12.75">
      <c r="A89" s="93" t="s">
        <v>358</v>
      </c>
      <c r="B89" s="84">
        <v>0</v>
      </c>
      <c r="C89" s="82">
        <v>0</v>
      </c>
    </row>
    <row r="90" spans="1:3" ht="12.75">
      <c r="A90" s="93" t="s">
        <v>363</v>
      </c>
      <c r="B90" s="84">
        <v>0</v>
      </c>
      <c r="C90" s="82">
        <v>0</v>
      </c>
    </row>
    <row r="91" spans="1:3" ht="12.75">
      <c r="A91" s="93" t="s">
        <v>364</v>
      </c>
      <c r="B91" s="85">
        <f>B92-B93</f>
        <v>0</v>
      </c>
      <c r="C91" s="86">
        <f>C92-C93</f>
        <v>0</v>
      </c>
    </row>
    <row r="92" spans="1:3" ht="12.75">
      <c r="A92" s="93" t="s">
        <v>361</v>
      </c>
      <c r="B92" s="84">
        <v>0</v>
      </c>
      <c r="C92" s="82">
        <v>0</v>
      </c>
    </row>
    <row r="93" spans="1:3" ht="12.75">
      <c r="A93" s="93" t="s">
        <v>358</v>
      </c>
      <c r="B93" s="84">
        <v>0</v>
      </c>
      <c r="C93" s="82">
        <v>0</v>
      </c>
    </row>
    <row r="94" spans="1:3" ht="36">
      <c r="A94" s="92" t="s">
        <v>365</v>
      </c>
      <c r="B94" s="78">
        <f>B95-B96</f>
        <v>9430350.83</v>
      </c>
      <c r="C94" s="79">
        <f>C95-C96</f>
        <v>12250680.47</v>
      </c>
    </row>
    <row r="95" spans="1:3" ht="12.75">
      <c r="A95" s="93" t="s">
        <v>357</v>
      </c>
      <c r="B95" s="84">
        <v>9430350.83</v>
      </c>
      <c r="C95" s="82">
        <v>12250680.47</v>
      </c>
    </row>
    <row r="96" spans="1:3" ht="12.75">
      <c r="A96" s="93" t="s">
        <v>358</v>
      </c>
      <c r="B96" s="84">
        <v>0</v>
      </c>
      <c r="C96" s="82">
        <v>0</v>
      </c>
    </row>
    <row r="97" spans="1:3" ht="12.75">
      <c r="A97" s="92" t="s">
        <v>366</v>
      </c>
      <c r="B97" s="78">
        <f>SUM(B98:B99)</f>
        <v>0</v>
      </c>
      <c r="C97" s="79">
        <f>SUM(C98:C99)</f>
        <v>0</v>
      </c>
    </row>
    <row r="98" spans="1:3" ht="12.75">
      <c r="A98" s="93" t="s">
        <v>367</v>
      </c>
      <c r="B98" s="84">
        <v>0</v>
      </c>
      <c r="C98" s="82">
        <v>0</v>
      </c>
    </row>
    <row r="99" spans="1:3" ht="12.75">
      <c r="A99" s="93" t="s">
        <v>368</v>
      </c>
      <c r="B99" s="84">
        <v>0</v>
      </c>
      <c r="C99" s="82">
        <v>0</v>
      </c>
    </row>
    <row r="100" spans="1:3" ht="12.75">
      <c r="A100" s="92" t="s">
        <v>369</v>
      </c>
      <c r="B100" s="87">
        <v>0</v>
      </c>
      <c r="C100" s="88">
        <v>0</v>
      </c>
    </row>
    <row r="101" spans="1:3" ht="12.75">
      <c r="A101" s="92" t="s">
        <v>370</v>
      </c>
      <c r="B101" s="78">
        <f>B102+B106+B107+B108+B109+B112</f>
        <v>1997679.3</v>
      </c>
      <c r="C101" s="79">
        <f>C102+C106+C107+C108+C109+C112</f>
        <v>2205795.4</v>
      </c>
    </row>
    <row r="102" spans="1:3" ht="12.75">
      <c r="A102" s="93" t="s">
        <v>371</v>
      </c>
      <c r="B102" s="85">
        <f>SUM(B103:B105)</f>
        <v>991604.78</v>
      </c>
      <c r="C102" s="86">
        <f>SUM(C103:C105)</f>
        <v>977930.33</v>
      </c>
    </row>
    <row r="103" spans="1:3" ht="12.75">
      <c r="A103" s="93" t="s">
        <v>372</v>
      </c>
      <c r="B103" s="84">
        <v>345139.28</v>
      </c>
      <c r="C103" s="82">
        <v>262828.25</v>
      </c>
    </row>
    <row r="104" spans="1:3" ht="24">
      <c r="A104" s="93" t="s">
        <v>373</v>
      </c>
      <c r="B104" s="84">
        <v>646465.5</v>
      </c>
      <c r="C104" s="82">
        <v>715102.08</v>
      </c>
    </row>
    <row r="105" spans="1:3" ht="12.75">
      <c r="A105" s="93" t="s">
        <v>374</v>
      </c>
      <c r="B105" s="84">
        <v>0</v>
      </c>
      <c r="C105" s="82">
        <v>0</v>
      </c>
    </row>
    <row r="106" spans="1:3" ht="12.75">
      <c r="A106" s="93" t="s">
        <v>375</v>
      </c>
      <c r="B106" s="84">
        <v>106060.11</v>
      </c>
      <c r="C106" s="82">
        <v>147100.29</v>
      </c>
    </row>
    <row r="107" spans="1:3" ht="12.75">
      <c r="A107" s="93" t="s">
        <v>376</v>
      </c>
      <c r="B107" s="84">
        <v>0</v>
      </c>
      <c r="C107" s="82">
        <v>0</v>
      </c>
    </row>
    <row r="108" spans="1:3" ht="12.75">
      <c r="A108" s="93" t="s">
        <v>377</v>
      </c>
      <c r="B108" s="84">
        <v>18030.67</v>
      </c>
      <c r="C108" s="82">
        <v>16438.57</v>
      </c>
    </row>
    <row r="109" spans="1:3" ht="12.75">
      <c r="A109" s="93" t="s">
        <v>378</v>
      </c>
      <c r="B109" s="85">
        <f>SUM(B110:B111)</f>
        <v>861998.5599999999</v>
      </c>
      <c r="C109" s="86">
        <f>SUM(C110:C111)</f>
        <v>973456.02</v>
      </c>
    </row>
    <row r="110" spans="1:3" ht="12.75">
      <c r="A110" s="93" t="s">
        <v>379</v>
      </c>
      <c r="B110" s="84">
        <v>268024.99</v>
      </c>
      <c r="C110" s="82">
        <v>316011.73</v>
      </c>
    </row>
    <row r="111" spans="1:3" ht="12.75">
      <c r="A111" s="93" t="s">
        <v>380</v>
      </c>
      <c r="B111" s="84">
        <v>593973.57</v>
      </c>
      <c r="C111" s="82">
        <v>657444.29</v>
      </c>
    </row>
    <row r="112" spans="1:3" ht="12.75">
      <c r="A112" s="93" t="s">
        <v>381</v>
      </c>
      <c r="B112" s="84">
        <v>19985.18</v>
      </c>
      <c r="C112" s="82">
        <v>90870.19</v>
      </c>
    </row>
    <row r="113" spans="1:3" ht="24">
      <c r="A113" s="92" t="s">
        <v>382</v>
      </c>
      <c r="B113" s="78">
        <f>SUM(B114:B115)</f>
        <v>2621720.78</v>
      </c>
      <c r="C113" s="79">
        <f>SUM(C114:C115)</f>
        <v>1501888.2</v>
      </c>
    </row>
    <row r="114" spans="1:3" ht="12.75">
      <c r="A114" s="93" t="s">
        <v>383</v>
      </c>
      <c r="B114" s="84">
        <v>2616779.76</v>
      </c>
      <c r="C114" s="82">
        <v>1498784.81</v>
      </c>
    </row>
    <row r="115" spans="1:3" ht="12.75">
      <c r="A115" s="93" t="s">
        <v>384</v>
      </c>
      <c r="B115" s="84">
        <v>4941.02</v>
      </c>
      <c r="C115" s="82">
        <v>3103.39</v>
      </c>
    </row>
    <row r="116" spans="1:3" ht="13.5" thickBot="1">
      <c r="A116" s="94" t="s">
        <v>385</v>
      </c>
      <c r="B116" s="90">
        <f>B62+B76+B77+B94+B97+B100+B101+B113</f>
        <v>40758714.32</v>
      </c>
      <c r="C116" s="91">
        <f>C62+C76+C77+C94+C97+C100+C101+C113</f>
        <v>40462163.09000001</v>
      </c>
    </row>
    <row r="117" ht="13.5" thickTop="1"/>
    <row r="118" ht="13.5" thickBot="1"/>
    <row r="119" spans="1:3" ht="13.5" thickTop="1">
      <c r="A119" s="70" t="s">
        <v>386</v>
      </c>
      <c r="B119" s="95" t="s">
        <v>387</v>
      </c>
      <c r="C119" s="71" t="s">
        <v>388</v>
      </c>
    </row>
    <row r="120" spans="1:3" ht="12.75">
      <c r="A120" s="74" t="s">
        <v>389</v>
      </c>
      <c r="B120" s="96" t="s">
        <v>390</v>
      </c>
      <c r="C120" s="97" t="s">
        <v>391</v>
      </c>
    </row>
    <row r="121" spans="1:3" ht="12.75">
      <c r="A121" s="98" t="s">
        <v>392</v>
      </c>
      <c r="B121" s="99">
        <f>B122-B123-B124</f>
        <v>6224081.61</v>
      </c>
      <c r="C121" s="79">
        <f>C122-C123-C124</f>
        <v>9162822.950000001</v>
      </c>
    </row>
    <row r="122" spans="1:3" ht="12.75">
      <c r="A122" s="100" t="s">
        <v>393</v>
      </c>
      <c r="B122" s="101">
        <v>6314973.87</v>
      </c>
      <c r="C122" s="102">
        <v>9337716.34</v>
      </c>
    </row>
    <row r="123" spans="1:3" ht="12.75">
      <c r="A123" s="100" t="s">
        <v>394</v>
      </c>
      <c r="B123" s="101">
        <v>86039.51</v>
      </c>
      <c r="C123" s="102">
        <v>148937.29</v>
      </c>
    </row>
    <row r="124" spans="1:3" ht="24">
      <c r="A124" s="100" t="s">
        <v>395</v>
      </c>
      <c r="B124" s="101">
        <v>4852.75</v>
      </c>
      <c r="C124" s="102">
        <v>25956.1</v>
      </c>
    </row>
    <row r="125" spans="1:3" ht="12.75">
      <c r="A125" s="98" t="s">
        <v>396</v>
      </c>
      <c r="B125" s="99">
        <f>B126+B129+B133+B134</f>
        <v>714572.69</v>
      </c>
      <c r="C125" s="103">
        <f>C126+C129+C133+C134</f>
        <v>870099.37</v>
      </c>
    </row>
    <row r="126" spans="1:3" ht="12.75">
      <c r="A126" s="100" t="s">
        <v>1118</v>
      </c>
      <c r="B126" s="101">
        <f>B127+B128</f>
        <v>0</v>
      </c>
      <c r="C126" s="102">
        <f>C127+C128</f>
        <v>0</v>
      </c>
    </row>
    <row r="127" spans="1:3" ht="24">
      <c r="A127" s="104" t="s">
        <v>1119</v>
      </c>
      <c r="B127" s="101">
        <v>0</v>
      </c>
      <c r="C127" s="102">
        <v>0</v>
      </c>
    </row>
    <row r="128" spans="1:3" ht="12.75">
      <c r="A128" s="105" t="s">
        <v>1120</v>
      </c>
      <c r="B128" s="101">
        <v>0</v>
      </c>
      <c r="C128" s="102">
        <v>0</v>
      </c>
    </row>
    <row r="129" spans="1:3" ht="12.75">
      <c r="A129" s="100" t="s">
        <v>1121</v>
      </c>
      <c r="B129" s="101">
        <f>B130+B131+B132</f>
        <v>199835.57</v>
      </c>
      <c r="C129" s="102">
        <f>C130+C131+C132</f>
        <v>275036.33</v>
      </c>
    </row>
    <row r="130" spans="1:3" ht="12.75">
      <c r="A130" s="105" t="s">
        <v>1122</v>
      </c>
      <c r="B130" s="101">
        <v>0</v>
      </c>
      <c r="C130" s="102">
        <v>0</v>
      </c>
    </row>
    <row r="131" spans="1:3" ht="24">
      <c r="A131" s="106" t="s">
        <v>1123</v>
      </c>
      <c r="B131" s="101">
        <v>0</v>
      </c>
      <c r="C131" s="102">
        <v>0</v>
      </c>
    </row>
    <row r="132" spans="1:3" ht="12.75">
      <c r="A132" s="104" t="s">
        <v>1124</v>
      </c>
      <c r="B132" s="101">
        <v>199835.57</v>
      </c>
      <c r="C132" s="102">
        <v>275036.33</v>
      </c>
    </row>
    <row r="133" spans="1:3" ht="12.75">
      <c r="A133" s="100" t="s">
        <v>1125</v>
      </c>
      <c r="B133" s="101">
        <v>174135.93</v>
      </c>
      <c r="C133" s="102">
        <v>476507.09</v>
      </c>
    </row>
    <row r="134" spans="1:3" ht="12.75">
      <c r="A134" s="100" t="s">
        <v>1126</v>
      </c>
      <c r="B134" s="101">
        <v>340601.19</v>
      </c>
      <c r="C134" s="102">
        <v>118555.95</v>
      </c>
    </row>
    <row r="135" spans="1:3" ht="12.75">
      <c r="A135" s="98" t="s">
        <v>1127</v>
      </c>
      <c r="B135" s="101">
        <v>0</v>
      </c>
      <c r="C135" s="102">
        <v>0</v>
      </c>
    </row>
    <row r="136" spans="1:3" ht="24">
      <c r="A136" s="98" t="s">
        <v>1128</v>
      </c>
      <c r="B136" s="101">
        <v>0</v>
      </c>
      <c r="C136" s="102">
        <v>4923.59</v>
      </c>
    </row>
    <row r="137" spans="1:3" ht="12.75">
      <c r="A137" s="98" t="s">
        <v>1129</v>
      </c>
      <c r="B137" s="99">
        <f>B138+B141</f>
        <v>349828.74</v>
      </c>
      <c r="C137" s="103">
        <f>C138+C141</f>
        <v>1092675.95</v>
      </c>
    </row>
    <row r="138" spans="1:3" ht="24">
      <c r="A138" s="100" t="s">
        <v>1130</v>
      </c>
      <c r="B138" s="101">
        <f>B139-B140</f>
        <v>235400.57</v>
      </c>
      <c r="C138" s="102">
        <f>C139-C140</f>
        <v>1040867.41</v>
      </c>
    </row>
    <row r="139" spans="1:3" ht="12.75">
      <c r="A139" s="105" t="s">
        <v>1131</v>
      </c>
      <c r="B139" s="101">
        <v>235400.57</v>
      </c>
      <c r="C139" s="102">
        <v>1042933.54</v>
      </c>
    </row>
    <row r="140" spans="1:3" ht="12.75">
      <c r="A140" s="104" t="s">
        <v>1132</v>
      </c>
      <c r="B140" s="101">
        <v>0</v>
      </c>
      <c r="C140" s="102">
        <v>2066.13</v>
      </c>
    </row>
    <row r="141" spans="1:3" ht="24">
      <c r="A141" s="100" t="s">
        <v>1133</v>
      </c>
      <c r="B141" s="101">
        <f>B142-B143</f>
        <v>114428.17</v>
      </c>
      <c r="C141" s="102">
        <f>C142-C143</f>
        <v>51808.53999999999</v>
      </c>
    </row>
    <row r="142" spans="1:3" ht="12.75">
      <c r="A142" s="105" t="s">
        <v>1134</v>
      </c>
      <c r="B142" s="101">
        <v>113303.55</v>
      </c>
      <c r="C142" s="102">
        <v>151171.34</v>
      </c>
    </row>
    <row r="143" spans="1:3" ht="12.75">
      <c r="A143" s="105" t="s">
        <v>1135</v>
      </c>
      <c r="B143" s="101">
        <v>-1124.62</v>
      </c>
      <c r="C143" s="102">
        <v>99362.8</v>
      </c>
    </row>
    <row r="144" spans="1:3" ht="24">
      <c r="A144" s="98" t="s">
        <v>1136</v>
      </c>
      <c r="B144" s="99">
        <f>B145+B148</f>
        <v>2836174.46</v>
      </c>
      <c r="C144" s="103">
        <f>C145+C148</f>
        <v>3373146.36</v>
      </c>
    </row>
    <row r="145" spans="1:3" ht="12.75">
      <c r="A145" s="100" t="s">
        <v>1137</v>
      </c>
      <c r="B145" s="101">
        <f>B146-B147</f>
        <v>2836174.46</v>
      </c>
      <c r="C145" s="102">
        <f>C146-C147</f>
        <v>3373146.36</v>
      </c>
    </row>
    <row r="146" spans="1:3" ht="12.75">
      <c r="A146" s="105" t="s">
        <v>1138</v>
      </c>
      <c r="B146" s="101">
        <v>2836174.46</v>
      </c>
      <c r="C146" s="102">
        <v>3373146.36</v>
      </c>
    </row>
    <row r="147" spans="1:3" ht="12.75">
      <c r="A147" s="105" t="s">
        <v>1139</v>
      </c>
      <c r="B147" s="101">
        <v>0</v>
      </c>
      <c r="C147" s="102">
        <v>0</v>
      </c>
    </row>
    <row r="148" spans="1:3" ht="24">
      <c r="A148" s="100" t="s">
        <v>1140</v>
      </c>
      <c r="B148" s="101">
        <v>0</v>
      </c>
      <c r="C148" s="102">
        <v>0</v>
      </c>
    </row>
    <row r="149" spans="1:3" ht="24">
      <c r="A149" s="98" t="s">
        <v>1141</v>
      </c>
      <c r="B149" s="101">
        <v>2649.37</v>
      </c>
      <c r="C149" s="102">
        <v>11074.77</v>
      </c>
    </row>
    <row r="150" spans="1:3" ht="12.75">
      <c r="A150" s="98" t="s">
        <v>1142</v>
      </c>
      <c r="B150" s="99">
        <f>B151+B152-B153</f>
        <v>15322221.01</v>
      </c>
      <c r="C150" s="103">
        <f>C151+C152-C153</f>
        <v>19984227.740000002</v>
      </c>
    </row>
    <row r="151" spans="1:3" ht="12.75">
      <c r="A151" s="100" t="s">
        <v>1143</v>
      </c>
      <c r="B151" s="101">
        <v>1819053.01</v>
      </c>
      <c r="C151" s="102">
        <v>1552037.05</v>
      </c>
    </row>
    <row r="152" spans="1:3" ht="12.75">
      <c r="A152" s="100" t="s">
        <v>1144</v>
      </c>
      <c r="B152" s="101">
        <v>13503168</v>
      </c>
      <c r="C152" s="102">
        <v>18432190.69</v>
      </c>
    </row>
    <row r="153" spans="1:3" ht="24">
      <c r="A153" s="107" t="s">
        <v>1145</v>
      </c>
      <c r="B153" s="101">
        <v>0</v>
      </c>
      <c r="C153" s="102">
        <v>0</v>
      </c>
    </row>
    <row r="154" spans="1:3" ht="12.75">
      <c r="A154" s="98" t="s">
        <v>1146</v>
      </c>
      <c r="B154" s="99">
        <f>B155+B156+B157+B158</f>
        <v>212009.56</v>
      </c>
      <c r="C154" s="103">
        <f>C155+C156+C157+C158</f>
        <v>1455557.34</v>
      </c>
    </row>
    <row r="155" spans="1:3" ht="12.75">
      <c r="A155" s="100" t="s">
        <v>1147</v>
      </c>
      <c r="B155" s="101">
        <v>0</v>
      </c>
      <c r="C155" s="102">
        <v>0</v>
      </c>
    </row>
    <row r="156" spans="1:3" ht="12.75">
      <c r="A156" s="100" t="s">
        <v>1148</v>
      </c>
      <c r="B156" s="101">
        <v>14658.33</v>
      </c>
      <c r="C156" s="102">
        <v>28758.8</v>
      </c>
    </row>
    <row r="157" spans="1:3" ht="12.75">
      <c r="A157" s="100" t="s">
        <v>1149</v>
      </c>
      <c r="B157" s="101">
        <v>187318.78</v>
      </c>
      <c r="C157" s="102">
        <v>999141.3</v>
      </c>
    </row>
    <row r="158" spans="1:3" ht="12.75">
      <c r="A158" s="107" t="s">
        <v>1150</v>
      </c>
      <c r="B158" s="101">
        <v>10032.45</v>
      </c>
      <c r="C158" s="102">
        <v>427657.24</v>
      </c>
    </row>
    <row r="159" spans="1:3" ht="12.75">
      <c r="A159" s="98" t="s">
        <v>1151</v>
      </c>
      <c r="B159" s="101">
        <v>0</v>
      </c>
      <c r="C159" s="102">
        <v>0</v>
      </c>
    </row>
    <row r="160" spans="1:3" ht="12.75">
      <c r="A160" s="98" t="s">
        <v>1152</v>
      </c>
      <c r="B160" s="101">
        <v>0</v>
      </c>
      <c r="C160" s="102">
        <v>8578.54</v>
      </c>
    </row>
    <row r="161" spans="1:3" ht="36">
      <c r="A161" s="108" t="s">
        <v>1153</v>
      </c>
      <c r="B161" s="101">
        <v>0</v>
      </c>
      <c r="C161" s="102">
        <v>0</v>
      </c>
    </row>
    <row r="162" spans="1:3" ht="24.75" thickBot="1">
      <c r="A162" s="109" t="s">
        <v>1154</v>
      </c>
      <c r="B162" s="110">
        <f>B121+B125+B135+B136-B137-B144-B149-B150-B154-B159-B160-B161</f>
        <v>-11784228.84</v>
      </c>
      <c r="C162" s="91">
        <f>C121+C125+C135+C136-C137-C144-C149-C150-C154-C159-C160-C161</f>
        <v>-15887414.79</v>
      </c>
    </row>
    <row r="163" ht="14.25" thickBot="1" thickTop="1"/>
    <row r="164" spans="1:3" ht="24.75" thickTop="1">
      <c r="A164" s="111" t="s">
        <v>1155</v>
      </c>
      <c r="B164" s="112" t="s">
        <v>387</v>
      </c>
      <c r="C164" s="113" t="s">
        <v>388</v>
      </c>
    </row>
    <row r="165" spans="1:3" ht="12.75">
      <c r="A165" s="114">
        <v>1</v>
      </c>
      <c r="B165" s="115">
        <v>2</v>
      </c>
      <c r="C165" s="116">
        <v>3</v>
      </c>
    </row>
    <row r="166" spans="1:3" ht="24">
      <c r="A166" s="117" t="s">
        <v>1156</v>
      </c>
      <c r="B166" s="118">
        <v>-11784228.84</v>
      </c>
      <c r="C166" s="119">
        <v>-15887414.79</v>
      </c>
    </row>
    <row r="167" spans="1:3" ht="12.75">
      <c r="A167" s="117" t="s">
        <v>1157</v>
      </c>
      <c r="B167" s="120">
        <f>B168+B171+B175+B176</f>
        <v>1009767.37</v>
      </c>
      <c r="C167" s="121">
        <f>C168+C171+C175+C176</f>
        <v>1334426.27</v>
      </c>
    </row>
    <row r="168" spans="1:3" ht="12.75">
      <c r="A168" s="122" t="s">
        <v>1158</v>
      </c>
      <c r="B168" s="123">
        <f>SUM(B169:B170)</f>
        <v>0</v>
      </c>
      <c r="C168" s="124">
        <f>SUM(C169:C170)</f>
        <v>0</v>
      </c>
    </row>
    <row r="169" spans="1:3" ht="24">
      <c r="A169" s="122" t="s">
        <v>1159</v>
      </c>
      <c r="B169" s="125">
        <v>0</v>
      </c>
      <c r="C169" s="126">
        <v>0</v>
      </c>
    </row>
    <row r="170" spans="1:3" ht="12.75">
      <c r="A170" s="122" t="s">
        <v>1160</v>
      </c>
      <c r="B170" s="125">
        <v>0</v>
      </c>
      <c r="C170" s="126">
        <v>0</v>
      </c>
    </row>
    <row r="171" spans="1:3" ht="12.75">
      <c r="A171" s="122" t="s">
        <v>1161</v>
      </c>
      <c r="B171" s="123">
        <f>SUM(B172:B174)</f>
        <v>1009767.37</v>
      </c>
      <c r="C171" s="124">
        <f>SUM(C172:C174)</f>
        <v>1206909.75</v>
      </c>
    </row>
    <row r="172" spans="1:3" ht="12.75">
      <c r="A172" s="122" t="s">
        <v>1162</v>
      </c>
      <c r="B172" s="125">
        <v>0</v>
      </c>
      <c r="C172" s="126">
        <v>0</v>
      </c>
    </row>
    <row r="173" spans="1:3" ht="24">
      <c r="A173" s="122" t="s">
        <v>1163</v>
      </c>
      <c r="B173" s="125">
        <v>0</v>
      </c>
      <c r="C173" s="126">
        <v>0</v>
      </c>
    </row>
    <row r="174" spans="1:3" ht="12.75">
      <c r="A174" s="122" t="s">
        <v>1164</v>
      </c>
      <c r="B174" s="125">
        <v>1009767.37</v>
      </c>
      <c r="C174" s="126">
        <v>1206909.75</v>
      </c>
    </row>
    <row r="175" spans="1:3" ht="12.75">
      <c r="A175" s="122" t="s">
        <v>1165</v>
      </c>
      <c r="B175" s="125">
        <v>0</v>
      </c>
      <c r="C175" s="126">
        <v>127516.52</v>
      </c>
    </row>
    <row r="176" spans="1:3" ht="12.75">
      <c r="A176" s="122" t="s">
        <v>1166</v>
      </c>
      <c r="B176" s="125">
        <v>0</v>
      </c>
      <c r="C176" s="126">
        <v>0</v>
      </c>
    </row>
    <row r="177" spans="1:3" ht="36">
      <c r="A177" s="117" t="s">
        <v>1167</v>
      </c>
      <c r="B177" s="118">
        <v>0</v>
      </c>
      <c r="C177" s="119">
        <v>0</v>
      </c>
    </row>
    <row r="178" spans="1:3" ht="12.75">
      <c r="A178" s="117" t="s">
        <v>1168</v>
      </c>
      <c r="B178" s="120">
        <f>SUM(B179:B182)</f>
        <v>0</v>
      </c>
      <c r="C178" s="121">
        <f>SUM(C179:C182)</f>
        <v>305.83</v>
      </c>
    </row>
    <row r="179" spans="1:3" ht="12.75">
      <c r="A179" s="122" t="s">
        <v>1169</v>
      </c>
      <c r="B179" s="125">
        <v>0</v>
      </c>
      <c r="C179" s="126">
        <v>0</v>
      </c>
    </row>
    <row r="180" spans="1:3" ht="12.75">
      <c r="A180" s="122" t="s">
        <v>1170</v>
      </c>
      <c r="B180" s="125">
        <v>0</v>
      </c>
      <c r="C180" s="126">
        <v>305.83</v>
      </c>
    </row>
    <row r="181" spans="1:3" ht="12.75">
      <c r="A181" s="122" t="s">
        <v>1171</v>
      </c>
      <c r="B181" s="125">
        <v>0</v>
      </c>
      <c r="C181" s="126">
        <v>0</v>
      </c>
    </row>
    <row r="182" spans="1:3" ht="12.75">
      <c r="A182" s="122" t="s">
        <v>1172</v>
      </c>
      <c r="B182" s="125">
        <v>0</v>
      </c>
      <c r="C182" s="126">
        <v>0</v>
      </c>
    </row>
    <row r="183" spans="1:3" ht="12.75">
      <c r="A183" s="117" t="s">
        <v>1173</v>
      </c>
      <c r="B183" s="118">
        <v>232694.33</v>
      </c>
      <c r="C183" s="119">
        <v>126714.9</v>
      </c>
    </row>
    <row r="184" spans="1:3" ht="12.75">
      <c r="A184" s="117" t="s">
        <v>1174</v>
      </c>
      <c r="B184" s="118">
        <v>704902.39</v>
      </c>
      <c r="C184" s="119">
        <v>420241.07</v>
      </c>
    </row>
    <row r="185" spans="1:3" ht="24">
      <c r="A185" s="117" t="s">
        <v>1175</v>
      </c>
      <c r="B185" s="120">
        <f>B166+B167+B177-B178+B183-B184</f>
        <v>-11246669.530000001</v>
      </c>
      <c r="C185" s="121">
        <f>C166+C167+C177-C178+C183-C184</f>
        <v>-14846820.52</v>
      </c>
    </row>
    <row r="186" spans="1:3" ht="12.75">
      <c r="A186" s="117" t="s">
        <v>1176</v>
      </c>
      <c r="B186" s="118">
        <v>0</v>
      </c>
      <c r="C186" s="119">
        <v>2513.94</v>
      </c>
    </row>
    <row r="187" spans="1:3" ht="12.75">
      <c r="A187" s="117" t="s">
        <v>1177</v>
      </c>
      <c r="B187" s="118">
        <v>0</v>
      </c>
      <c r="C187" s="119">
        <v>2513.94</v>
      </c>
    </row>
    <row r="188" spans="1:3" ht="12.75">
      <c r="A188" s="117" t="s">
        <v>1178</v>
      </c>
      <c r="B188" s="120">
        <f>B185+B186-B187</f>
        <v>-11246669.530000001</v>
      </c>
      <c r="C188" s="121">
        <f>C185+C186-C187</f>
        <v>-14846820.52</v>
      </c>
    </row>
    <row r="189" spans="1:3" ht="12.75">
      <c r="A189" s="122" t="s">
        <v>1179</v>
      </c>
      <c r="B189" s="123">
        <f>IF(B188&lt;0,0,B188)</f>
        <v>0</v>
      </c>
      <c r="C189" s="124">
        <f>IF(C188&lt;0,0,C188)</f>
        <v>0</v>
      </c>
    </row>
    <row r="190" spans="1:3" ht="12.75">
      <c r="A190" s="122" t="s">
        <v>1180</v>
      </c>
      <c r="B190" s="123">
        <f>IF(B188&lt;0,ABS(B188),0)</f>
        <v>11246669.530000001</v>
      </c>
      <c r="C190" s="124">
        <f>IF(C188&lt;0,ABS(C188),0)</f>
        <v>14846820.52</v>
      </c>
    </row>
    <row r="191" spans="1:3" ht="12.75">
      <c r="A191" s="117" t="s">
        <v>1181</v>
      </c>
      <c r="B191" s="120">
        <f>SUM(B192:B193)</f>
        <v>0</v>
      </c>
      <c r="C191" s="121">
        <f>SUM(C192:C193)</f>
        <v>0</v>
      </c>
    </row>
    <row r="192" spans="1:3" ht="12.75">
      <c r="A192" s="122" t="s">
        <v>1182</v>
      </c>
      <c r="B192" s="125">
        <v>0</v>
      </c>
      <c r="C192" s="126">
        <v>0</v>
      </c>
    </row>
    <row r="193" spans="1:3" ht="12.75">
      <c r="A193" s="122" t="s">
        <v>1183</v>
      </c>
      <c r="B193" s="125">
        <v>0</v>
      </c>
      <c r="C193" s="126">
        <v>0</v>
      </c>
    </row>
    <row r="194" spans="1:3" ht="12.75">
      <c r="A194" s="117" t="s">
        <v>1184</v>
      </c>
      <c r="B194" s="120">
        <f>B188-B191</f>
        <v>-11246669.530000001</v>
      </c>
      <c r="C194" s="121">
        <f>C188-C191</f>
        <v>-14846820.52</v>
      </c>
    </row>
    <row r="195" spans="1:3" ht="12.75">
      <c r="A195" s="122" t="s">
        <v>1185</v>
      </c>
      <c r="B195" s="123">
        <f>IF(B194&lt;0,0,B194)</f>
        <v>0</v>
      </c>
      <c r="C195" s="124">
        <f>IF(C194&lt;0,0,C194)</f>
        <v>0</v>
      </c>
    </row>
    <row r="196" spans="1:3" ht="13.5" thickBot="1">
      <c r="A196" s="127" t="s">
        <v>1186</v>
      </c>
      <c r="B196" s="128">
        <f>IF(B194&lt;=0,ABS(B194),0)</f>
        <v>11246669.530000001</v>
      </c>
      <c r="C196" s="129">
        <f>IF(C194&lt;=0,ABS(C194),0)</f>
        <v>14846820.52</v>
      </c>
    </row>
    <row r="197" ht="13.5" thickTop="1"/>
  </sheetData>
  <mergeCells count="4">
    <mergeCell ref="A4:A5"/>
    <mergeCell ref="B4:C4"/>
    <mergeCell ref="A59:A60"/>
    <mergeCell ref="B59:C5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80"/>
  <sheetViews>
    <sheetView workbookViewId="0" topLeftCell="B13">
      <selection activeCell="B49" sqref="B49"/>
    </sheetView>
  </sheetViews>
  <sheetFormatPr defaultColWidth="9.140625" defaultRowHeight="12.75"/>
  <cols>
    <col min="1" max="1" width="37.8515625" style="0" customWidth="1"/>
    <col min="2" max="2" width="28.7109375" style="0" customWidth="1"/>
    <col min="3" max="3" width="37.7109375" style="0" customWidth="1"/>
    <col min="4" max="4" width="29.28125" style="0" customWidth="1"/>
  </cols>
  <sheetData>
    <row r="1" spans="1:4" ht="18">
      <c r="A1" s="508" t="s">
        <v>507</v>
      </c>
      <c r="B1" s="509"/>
      <c r="C1" s="509"/>
      <c r="D1" s="510"/>
    </row>
    <row r="2" spans="1:4" ht="12.75">
      <c r="A2" s="511" t="s">
        <v>678</v>
      </c>
      <c r="B2" s="512"/>
      <c r="C2" s="512"/>
      <c r="D2" s="513"/>
    </row>
    <row r="3" spans="1:4" ht="12.75">
      <c r="A3" s="233" t="s">
        <v>679</v>
      </c>
      <c r="B3" s="409" t="s">
        <v>680</v>
      </c>
      <c r="C3" s="233" t="s">
        <v>681</v>
      </c>
      <c r="D3" s="409" t="s">
        <v>680</v>
      </c>
    </row>
    <row r="4" spans="1:4" ht="12.75">
      <c r="A4" s="416" t="s">
        <v>1581</v>
      </c>
      <c r="B4" s="234">
        <v>214529786.14</v>
      </c>
      <c r="C4" s="290" t="s">
        <v>682</v>
      </c>
      <c r="D4" s="234">
        <v>-6735608.21</v>
      </c>
    </row>
    <row r="5" spans="1:4" ht="12.75">
      <c r="A5" s="417" t="s">
        <v>683</v>
      </c>
      <c r="B5" s="418">
        <v>394292.78</v>
      </c>
      <c r="C5" s="419" t="s">
        <v>344</v>
      </c>
      <c r="D5" s="418">
        <v>2277000</v>
      </c>
    </row>
    <row r="6" spans="1:4" ht="12.75">
      <c r="A6" s="420" t="s">
        <v>684</v>
      </c>
      <c r="B6" s="421">
        <v>0</v>
      </c>
      <c r="C6" s="422" t="s">
        <v>685</v>
      </c>
      <c r="D6" s="423">
        <v>0</v>
      </c>
    </row>
    <row r="7" spans="1:4" ht="12.75">
      <c r="A7" s="420" t="s">
        <v>686</v>
      </c>
      <c r="B7" s="421">
        <v>0</v>
      </c>
      <c r="C7" s="422" t="s">
        <v>346</v>
      </c>
      <c r="D7" s="423">
        <v>0</v>
      </c>
    </row>
    <row r="8" spans="1:4" ht="12.75">
      <c r="A8" s="406" t="s">
        <v>687</v>
      </c>
      <c r="B8" s="421">
        <v>0</v>
      </c>
      <c r="C8" s="317" t="s">
        <v>688</v>
      </c>
      <c r="D8" s="421">
        <v>0</v>
      </c>
    </row>
    <row r="9" spans="1:4" ht="12.75">
      <c r="A9" s="406" t="s">
        <v>689</v>
      </c>
      <c r="B9" s="421">
        <v>394292.78</v>
      </c>
      <c r="C9" s="317" t="s">
        <v>1205</v>
      </c>
      <c r="D9" s="421">
        <v>0</v>
      </c>
    </row>
    <row r="10" spans="1:4" ht="12.75">
      <c r="A10" s="406" t="s">
        <v>690</v>
      </c>
      <c r="B10" s="421">
        <v>0</v>
      </c>
      <c r="C10" s="317" t="s">
        <v>691</v>
      </c>
      <c r="D10" s="421">
        <v>0</v>
      </c>
    </row>
    <row r="11" spans="1:4" ht="12.75">
      <c r="A11" s="424" t="s">
        <v>692</v>
      </c>
      <c r="B11" s="423">
        <v>206563437.41</v>
      </c>
      <c r="C11" s="317" t="s">
        <v>1209</v>
      </c>
      <c r="D11" s="421">
        <v>0</v>
      </c>
    </row>
    <row r="12" spans="1:4" ht="12.75">
      <c r="A12" s="406" t="s">
        <v>1210</v>
      </c>
      <c r="B12" s="421">
        <v>2720224.35</v>
      </c>
      <c r="C12" s="317" t="s">
        <v>1211</v>
      </c>
      <c r="D12" s="421">
        <v>0</v>
      </c>
    </row>
    <row r="13" spans="1:4" ht="12.75">
      <c r="A13" s="406" t="s">
        <v>1212</v>
      </c>
      <c r="B13" s="421">
        <v>7545961.22</v>
      </c>
      <c r="C13" s="422" t="s">
        <v>693</v>
      </c>
      <c r="D13" s="421">
        <v>0</v>
      </c>
    </row>
    <row r="14" spans="1:4" ht="12.75">
      <c r="A14" s="406" t="s">
        <v>694</v>
      </c>
      <c r="B14" s="421">
        <v>69876266.18</v>
      </c>
      <c r="C14" s="422" t="s">
        <v>695</v>
      </c>
      <c r="D14" s="421">
        <v>0</v>
      </c>
    </row>
    <row r="15" spans="1:4" ht="12.75">
      <c r="A15" s="406" t="s">
        <v>221</v>
      </c>
      <c r="B15" s="421">
        <v>109606299.52</v>
      </c>
      <c r="C15" s="422" t="s">
        <v>696</v>
      </c>
      <c r="D15" s="423">
        <v>-9557473.14</v>
      </c>
    </row>
    <row r="16" spans="1:4" ht="12.75">
      <c r="A16" s="406" t="s">
        <v>697</v>
      </c>
      <c r="B16" s="421">
        <v>9611865.09</v>
      </c>
      <c r="C16" s="317" t="s">
        <v>698</v>
      </c>
      <c r="D16" s="421">
        <v>0</v>
      </c>
    </row>
    <row r="17" spans="1:4" ht="12.75">
      <c r="A17" s="406" t="s">
        <v>1223</v>
      </c>
      <c r="B17" s="421">
        <v>6850561.66</v>
      </c>
      <c r="C17" s="317" t="s">
        <v>699</v>
      </c>
      <c r="D17" s="421">
        <v>-9557473.14</v>
      </c>
    </row>
    <row r="18" spans="1:4" ht="12.75">
      <c r="A18" s="406" t="s">
        <v>700</v>
      </c>
      <c r="B18" s="421">
        <v>352259.39</v>
      </c>
      <c r="C18" s="422" t="s">
        <v>701</v>
      </c>
      <c r="D18" s="423">
        <v>544864.93</v>
      </c>
    </row>
    <row r="19" spans="1:4" ht="12.75">
      <c r="A19" s="424" t="s">
        <v>1596</v>
      </c>
      <c r="B19" s="423">
        <v>400</v>
      </c>
      <c r="C19" s="317" t="s">
        <v>702</v>
      </c>
      <c r="D19" s="421">
        <v>544864.93</v>
      </c>
    </row>
    <row r="20" spans="1:4" ht="12.75">
      <c r="A20" s="406" t="s">
        <v>511</v>
      </c>
      <c r="B20" s="421">
        <v>0</v>
      </c>
      <c r="C20" s="317" t="s">
        <v>703</v>
      </c>
      <c r="D20" s="421">
        <v>0</v>
      </c>
    </row>
    <row r="21" spans="1:4" ht="12.75">
      <c r="A21" s="406" t="s">
        <v>704</v>
      </c>
      <c r="B21" s="421">
        <v>0</v>
      </c>
      <c r="C21" s="317" t="s">
        <v>705</v>
      </c>
      <c r="D21" s="421">
        <v>0</v>
      </c>
    </row>
    <row r="22" spans="1:4" ht="12.75">
      <c r="A22" s="406" t="s">
        <v>706</v>
      </c>
      <c r="B22" s="421">
        <v>0</v>
      </c>
      <c r="C22" s="290" t="s">
        <v>1644</v>
      </c>
      <c r="D22" s="234">
        <v>0</v>
      </c>
    </row>
    <row r="23" spans="1:4" ht="12.75">
      <c r="A23" s="406" t="s">
        <v>707</v>
      </c>
      <c r="B23" s="421">
        <v>400</v>
      </c>
      <c r="C23" s="317" t="s">
        <v>708</v>
      </c>
      <c r="D23" s="421">
        <v>0</v>
      </c>
    </row>
    <row r="24" spans="1:4" ht="12.75">
      <c r="A24" s="424" t="s">
        <v>1601</v>
      </c>
      <c r="B24" s="423">
        <v>7571655.95</v>
      </c>
      <c r="C24" s="317" t="s">
        <v>521</v>
      </c>
      <c r="D24" s="421">
        <v>0</v>
      </c>
    </row>
    <row r="25" spans="1:4" ht="12.75">
      <c r="A25" s="425" t="s">
        <v>140</v>
      </c>
      <c r="B25" s="234">
        <v>12542550.77</v>
      </c>
      <c r="C25" s="290" t="s">
        <v>709</v>
      </c>
      <c r="D25" s="234">
        <v>152930160.95</v>
      </c>
    </row>
    <row r="26" spans="1:4" ht="12.75">
      <c r="A26" s="424" t="s">
        <v>1603</v>
      </c>
      <c r="B26" s="421">
        <v>8246.83</v>
      </c>
      <c r="C26" s="317" t="s">
        <v>710</v>
      </c>
      <c r="D26" s="421">
        <v>499059.42</v>
      </c>
    </row>
    <row r="27" spans="1:4" ht="12.75">
      <c r="A27" s="406" t="s">
        <v>526</v>
      </c>
      <c r="B27" s="421">
        <v>0</v>
      </c>
      <c r="C27" s="317" t="s">
        <v>711</v>
      </c>
      <c r="D27" s="421">
        <v>149765966.91</v>
      </c>
    </row>
    <row r="28" spans="1:4" ht="12.75">
      <c r="A28" s="406" t="s">
        <v>712</v>
      </c>
      <c r="B28" s="421">
        <v>0</v>
      </c>
      <c r="C28" s="317" t="s">
        <v>713</v>
      </c>
      <c r="D28" s="421">
        <v>2665134.62</v>
      </c>
    </row>
    <row r="29" spans="1:4" ht="12.75">
      <c r="A29" s="406" t="s">
        <v>530</v>
      </c>
      <c r="B29" s="421">
        <v>0</v>
      </c>
      <c r="C29" s="290" t="s">
        <v>714</v>
      </c>
      <c r="D29" s="234">
        <v>65631784.24</v>
      </c>
    </row>
    <row r="30" spans="1:4" ht="12.75">
      <c r="A30" s="406" t="s">
        <v>533</v>
      </c>
      <c r="B30" s="421">
        <v>0</v>
      </c>
      <c r="C30" s="422" t="s">
        <v>715</v>
      </c>
      <c r="D30" s="423">
        <v>65586233.4</v>
      </c>
    </row>
    <row r="31" spans="1:4" ht="12.75">
      <c r="A31" s="406" t="s">
        <v>716</v>
      </c>
      <c r="B31" s="421">
        <v>8246.83</v>
      </c>
      <c r="C31" s="317" t="s">
        <v>717</v>
      </c>
      <c r="D31" s="421">
        <v>20600000</v>
      </c>
    </row>
    <row r="32" spans="1:4" ht="12.75">
      <c r="A32" s="424" t="s">
        <v>718</v>
      </c>
      <c r="B32" s="423">
        <v>11610589.76</v>
      </c>
      <c r="C32" s="317" t="s">
        <v>540</v>
      </c>
      <c r="D32" s="421">
        <v>40492354.41</v>
      </c>
    </row>
    <row r="33" spans="1:4" ht="12.75">
      <c r="A33" s="406" t="s">
        <v>719</v>
      </c>
      <c r="B33" s="421">
        <v>9893190.19</v>
      </c>
      <c r="C33" s="317" t="s">
        <v>720</v>
      </c>
      <c r="D33" s="421">
        <v>50912.95</v>
      </c>
    </row>
    <row r="34" spans="1:4" ht="12.75">
      <c r="A34" s="406" t="s">
        <v>721</v>
      </c>
      <c r="B34" s="421">
        <v>137091.88</v>
      </c>
      <c r="C34" s="317" t="s">
        <v>722</v>
      </c>
      <c r="D34" s="421">
        <v>3165770.16</v>
      </c>
    </row>
    <row r="35" spans="1:4" ht="12.75">
      <c r="A35" s="406" t="s">
        <v>723</v>
      </c>
      <c r="B35" s="421">
        <v>0</v>
      </c>
      <c r="C35" s="317" t="s">
        <v>724</v>
      </c>
      <c r="D35" s="421">
        <v>0</v>
      </c>
    </row>
    <row r="36" spans="1:4" ht="12.75">
      <c r="A36" s="406" t="s">
        <v>545</v>
      </c>
      <c r="B36" s="421">
        <v>72292.79</v>
      </c>
      <c r="C36" s="317" t="s">
        <v>725</v>
      </c>
      <c r="D36" s="421">
        <v>873526.64</v>
      </c>
    </row>
    <row r="37" spans="1:4" ht="12.75">
      <c r="A37" s="406" t="s">
        <v>726</v>
      </c>
      <c r="B37" s="421">
        <v>1508014.9</v>
      </c>
      <c r="C37" s="317" t="s">
        <v>727</v>
      </c>
      <c r="D37" s="421">
        <v>290547.54</v>
      </c>
    </row>
    <row r="38" spans="1:4" ht="12.75">
      <c r="A38" s="424" t="s">
        <v>728</v>
      </c>
      <c r="B38" s="423">
        <v>0</v>
      </c>
      <c r="C38" s="317" t="s">
        <v>729</v>
      </c>
      <c r="D38" s="421">
        <v>0</v>
      </c>
    </row>
    <row r="39" spans="1:4" ht="12.75">
      <c r="A39" s="406" t="s">
        <v>730</v>
      </c>
      <c r="B39" s="421">
        <v>0</v>
      </c>
      <c r="C39" s="317" t="s">
        <v>731</v>
      </c>
      <c r="D39" s="421">
        <v>113121.7</v>
      </c>
    </row>
    <row r="40" spans="1:4" ht="12.75">
      <c r="A40" s="406" t="s">
        <v>732</v>
      </c>
      <c r="B40" s="421">
        <v>0</v>
      </c>
      <c r="C40" s="422" t="s">
        <v>1662</v>
      </c>
      <c r="D40" s="423">
        <v>45550.84</v>
      </c>
    </row>
    <row r="41" spans="1:4" ht="12.75">
      <c r="A41" s="424" t="s">
        <v>1618</v>
      </c>
      <c r="B41" s="423">
        <v>923714.18</v>
      </c>
      <c r="C41" s="317" t="s">
        <v>733</v>
      </c>
      <c r="D41" s="421">
        <v>18048165.19</v>
      </c>
    </row>
    <row r="42" spans="1:4" ht="12.75">
      <c r="A42" s="406" t="s">
        <v>734</v>
      </c>
      <c r="B42" s="421">
        <v>1712.31</v>
      </c>
      <c r="C42" s="317" t="s">
        <v>735</v>
      </c>
      <c r="D42" s="421">
        <v>21171.75</v>
      </c>
    </row>
    <row r="43" spans="1:4" ht="12.75">
      <c r="A43" s="406" t="s">
        <v>736</v>
      </c>
      <c r="B43" s="421">
        <v>922001.87</v>
      </c>
      <c r="C43" s="426" t="s">
        <v>737</v>
      </c>
      <c r="D43" s="421">
        <v>18026993.44</v>
      </c>
    </row>
    <row r="44" spans="1:4" ht="12.75">
      <c r="A44" s="406" t="s">
        <v>559</v>
      </c>
      <c r="B44" s="427">
        <v>0</v>
      </c>
      <c r="C44" s="317"/>
      <c r="D44" s="317"/>
    </row>
    <row r="45" spans="1:4" ht="12.75">
      <c r="A45" s="428" t="s">
        <v>738</v>
      </c>
      <c r="B45" s="423">
        <v>2802165.26</v>
      </c>
      <c r="C45" s="429"/>
      <c r="D45" s="429"/>
    </row>
    <row r="46" spans="1:4" ht="12.75">
      <c r="A46" s="406" t="s">
        <v>739</v>
      </c>
      <c r="B46" s="421">
        <v>2802165.26</v>
      </c>
      <c r="C46" s="317"/>
      <c r="D46" s="317"/>
    </row>
    <row r="47" spans="1:4" ht="12.75">
      <c r="A47" s="406" t="s">
        <v>740</v>
      </c>
      <c r="B47" s="421">
        <v>0</v>
      </c>
      <c r="C47" s="317"/>
      <c r="D47" s="317"/>
    </row>
    <row r="48" spans="1:4" ht="12.75">
      <c r="A48" s="425" t="s">
        <v>1625</v>
      </c>
      <c r="B48" s="234">
        <v>229874502.17</v>
      </c>
      <c r="C48" s="425" t="s">
        <v>1666</v>
      </c>
      <c r="D48" s="234">
        <v>229874502.17</v>
      </c>
    </row>
    <row r="52" spans="1:4" ht="12.75">
      <c r="A52" s="511" t="s">
        <v>741</v>
      </c>
      <c r="B52" s="512"/>
      <c r="C52" s="512"/>
      <c r="D52" s="513"/>
    </row>
    <row r="53" spans="1:4" ht="15.75">
      <c r="A53" s="430" t="s">
        <v>497</v>
      </c>
      <c r="B53" s="409" t="s">
        <v>680</v>
      </c>
      <c r="C53" s="413" t="s">
        <v>498</v>
      </c>
      <c r="D53" s="409" t="s">
        <v>680</v>
      </c>
    </row>
    <row r="54" spans="1:4" ht="25.5">
      <c r="A54" s="431" t="s">
        <v>75</v>
      </c>
      <c r="B54" s="234">
        <v>40057352.75</v>
      </c>
      <c r="C54" s="432" t="s">
        <v>742</v>
      </c>
      <c r="D54" s="234">
        <v>47016547.1</v>
      </c>
    </row>
    <row r="55" spans="1:4" ht="25.5">
      <c r="A55" s="433" t="s">
        <v>397</v>
      </c>
      <c r="B55" s="421">
        <v>0</v>
      </c>
      <c r="C55" s="434" t="s">
        <v>743</v>
      </c>
      <c r="D55" s="421">
        <v>47016547.1</v>
      </c>
    </row>
    <row r="56" spans="1:4" ht="12.75">
      <c r="A56" s="420" t="s">
        <v>744</v>
      </c>
      <c r="B56" s="421">
        <v>265705.22</v>
      </c>
      <c r="C56" s="434" t="s">
        <v>1296</v>
      </c>
      <c r="D56" s="421">
        <v>0</v>
      </c>
    </row>
    <row r="57" spans="1:4" ht="12.75">
      <c r="A57" s="406" t="s">
        <v>399</v>
      </c>
      <c r="B57" s="421">
        <v>1749787.15</v>
      </c>
      <c r="C57" s="434" t="s">
        <v>745</v>
      </c>
      <c r="D57" s="421">
        <v>0</v>
      </c>
    </row>
    <row r="58" spans="1:4" ht="12.75">
      <c r="A58" s="406" t="s">
        <v>400</v>
      </c>
      <c r="B58" s="421">
        <v>421574.72</v>
      </c>
      <c r="C58" s="434" t="s">
        <v>746</v>
      </c>
      <c r="D58" s="421">
        <v>0</v>
      </c>
    </row>
    <row r="59" spans="1:4" ht="12.75">
      <c r="A59" s="406" t="s">
        <v>401</v>
      </c>
      <c r="B59" s="421">
        <v>1886892.94</v>
      </c>
      <c r="C59" s="432" t="s">
        <v>747</v>
      </c>
      <c r="D59" s="234">
        <v>0</v>
      </c>
    </row>
    <row r="60" spans="1:4" ht="12.75">
      <c r="A60" s="406" t="s">
        <v>748</v>
      </c>
      <c r="B60" s="421">
        <v>396114.08</v>
      </c>
      <c r="C60" s="432" t="s">
        <v>749</v>
      </c>
      <c r="D60" s="234">
        <v>4397287.44</v>
      </c>
    </row>
    <row r="61" spans="1:4" ht="12.75">
      <c r="A61" s="406" t="s">
        <v>403</v>
      </c>
      <c r="B61" s="421">
        <v>34330389.33</v>
      </c>
      <c r="C61" s="434" t="s">
        <v>750</v>
      </c>
      <c r="D61" s="421">
        <v>4231478.7</v>
      </c>
    </row>
    <row r="62" spans="1:4" ht="12.75">
      <c r="A62" s="406" t="s">
        <v>751</v>
      </c>
      <c r="B62" s="421">
        <v>1006889.31</v>
      </c>
      <c r="C62" s="434" t="s">
        <v>752</v>
      </c>
      <c r="D62" s="421">
        <v>0</v>
      </c>
    </row>
    <row r="63" spans="1:4" ht="12.75">
      <c r="A63" s="435" t="s">
        <v>753</v>
      </c>
      <c r="B63" s="234">
        <v>6959194.35</v>
      </c>
      <c r="C63" s="434" t="s">
        <v>754</v>
      </c>
      <c r="D63" s="421">
        <v>165808.74</v>
      </c>
    </row>
    <row r="64" spans="1:4" ht="12.75">
      <c r="A64" s="435" t="s">
        <v>755</v>
      </c>
      <c r="B64" s="234">
        <v>5511083.19</v>
      </c>
      <c r="C64" s="432" t="s">
        <v>756</v>
      </c>
      <c r="D64" s="234">
        <v>0</v>
      </c>
    </row>
    <row r="65" spans="1:4" ht="12.75">
      <c r="A65" s="406" t="s">
        <v>757</v>
      </c>
      <c r="B65" s="421">
        <v>5445129.28</v>
      </c>
      <c r="C65" s="432" t="s">
        <v>1396</v>
      </c>
      <c r="D65" s="234">
        <v>4583049.42</v>
      </c>
    </row>
    <row r="66" spans="1:4" ht="12.75">
      <c r="A66" s="406" t="s">
        <v>758</v>
      </c>
      <c r="B66" s="421">
        <v>65953.91</v>
      </c>
      <c r="C66" s="434" t="s">
        <v>759</v>
      </c>
      <c r="D66" s="421">
        <v>0</v>
      </c>
    </row>
    <row r="67" spans="1:4" ht="12.75">
      <c r="A67" s="406"/>
      <c r="B67" s="421"/>
      <c r="C67" s="434" t="s">
        <v>760</v>
      </c>
      <c r="D67" s="421">
        <v>0</v>
      </c>
    </row>
    <row r="68" spans="1:4" ht="12.75">
      <c r="A68" s="435" t="s">
        <v>761</v>
      </c>
      <c r="B68" s="234">
        <v>5845398.6</v>
      </c>
      <c r="C68" s="434" t="s">
        <v>416</v>
      </c>
      <c r="D68" s="421">
        <v>1089888.74</v>
      </c>
    </row>
    <row r="69" spans="1:4" ht="12.75">
      <c r="A69" s="435" t="s">
        <v>1401</v>
      </c>
      <c r="B69" s="234">
        <v>9913837.12</v>
      </c>
      <c r="C69" s="434" t="s">
        <v>62</v>
      </c>
      <c r="D69" s="421">
        <v>3493160.68</v>
      </c>
    </row>
    <row r="70" spans="1:4" ht="12.75">
      <c r="A70" s="406" t="s">
        <v>762</v>
      </c>
      <c r="B70" s="421">
        <v>0</v>
      </c>
      <c r="C70" s="432" t="s">
        <v>763</v>
      </c>
      <c r="D70" s="234">
        <v>0</v>
      </c>
    </row>
    <row r="71" spans="1:4" ht="12.75">
      <c r="A71" s="436" t="s">
        <v>764</v>
      </c>
      <c r="B71" s="421">
        <v>8900510.36</v>
      </c>
      <c r="C71" s="432" t="s">
        <v>1400</v>
      </c>
      <c r="D71" s="234">
        <v>377029.84</v>
      </c>
    </row>
    <row r="72" spans="1:4" ht="12.75">
      <c r="A72" s="436" t="s">
        <v>765</v>
      </c>
      <c r="B72" s="421">
        <v>0</v>
      </c>
      <c r="C72" s="437"/>
      <c r="D72" s="423"/>
    </row>
    <row r="73" spans="1:4" ht="12.75">
      <c r="A73" s="406" t="s">
        <v>62</v>
      </c>
      <c r="B73" s="421">
        <v>1013326.76</v>
      </c>
      <c r="C73" s="432" t="s">
        <v>1402</v>
      </c>
      <c r="D73" s="234">
        <v>0</v>
      </c>
    </row>
    <row r="74" spans="1:4" ht="12.75">
      <c r="A74" s="435" t="s">
        <v>766</v>
      </c>
      <c r="B74" s="438">
        <v>514610.9</v>
      </c>
      <c r="C74" s="439"/>
      <c r="D74" s="440"/>
    </row>
    <row r="75" spans="1:4" ht="12.75">
      <c r="A75" s="435" t="s">
        <v>1407</v>
      </c>
      <c r="B75" s="438">
        <v>189608.81</v>
      </c>
      <c r="C75" s="441"/>
      <c r="D75" s="442"/>
    </row>
    <row r="76" spans="1:4" ht="12.75">
      <c r="A76" s="435" t="s">
        <v>1408</v>
      </c>
      <c r="B76" s="438">
        <v>702031.93</v>
      </c>
      <c r="C76" s="436"/>
      <c r="D76" s="443"/>
    </row>
    <row r="77" spans="1:4" ht="12.75">
      <c r="A77" s="435" t="s">
        <v>767</v>
      </c>
      <c r="B77" s="438">
        <v>157167</v>
      </c>
      <c r="C77" s="436"/>
      <c r="D77" s="442"/>
    </row>
    <row r="78" spans="1:4" ht="12.75">
      <c r="A78" s="406" t="s">
        <v>768</v>
      </c>
      <c r="B78" s="444">
        <v>157167</v>
      </c>
      <c r="C78" s="436"/>
      <c r="D78" s="442"/>
    </row>
    <row r="79" spans="1:4" ht="12.75">
      <c r="A79" s="406" t="s">
        <v>769</v>
      </c>
      <c r="B79" s="444">
        <v>0</v>
      </c>
      <c r="C79" s="445"/>
      <c r="D79" s="446"/>
    </row>
    <row r="80" spans="1:4" ht="12.75">
      <c r="A80" s="435" t="s">
        <v>770</v>
      </c>
      <c r="B80" s="438">
        <v>544864.93</v>
      </c>
      <c r="C80" s="432" t="s">
        <v>771</v>
      </c>
      <c r="D80" s="234">
        <v>0</v>
      </c>
    </row>
  </sheetData>
  <mergeCells count="3">
    <mergeCell ref="A1:D1"/>
    <mergeCell ref="A2:D2"/>
    <mergeCell ref="A52:D5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K87"/>
  <sheetViews>
    <sheetView workbookViewId="0" topLeftCell="A1">
      <selection activeCell="B2" sqref="B2"/>
    </sheetView>
  </sheetViews>
  <sheetFormatPr defaultColWidth="9.140625" defaultRowHeight="12.75"/>
  <cols>
    <col min="1" max="1" width="36.140625" style="0" customWidth="1"/>
    <col min="2" max="2" width="22.421875" style="0" customWidth="1"/>
    <col min="3" max="3" width="28.421875" style="0" customWidth="1"/>
    <col min="4" max="4" width="18.421875" style="0" customWidth="1"/>
  </cols>
  <sheetData>
    <row r="1" ht="12.75">
      <c r="A1" s="28" t="s">
        <v>851</v>
      </c>
    </row>
    <row r="2" ht="12.75">
      <c r="B2" s="28" t="s">
        <v>505</v>
      </c>
    </row>
    <row r="3" spans="1:4" ht="30">
      <c r="A3" s="447" t="s">
        <v>1578</v>
      </c>
      <c r="B3" s="448" t="s">
        <v>772</v>
      </c>
      <c r="C3" s="447" t="s">
        <v>1626</v>
      </c>
      <c r="D3" s="449" t="s">
        <v>772</v>
      </c>
    </row>
    <row r="4" spans="1:4" ht="15.75">
      <c r="A4" s="413" t="s">
        <v>119</v>
      </c>
      <c r="B4" s="412">
        <f>B5+B11+B19+B24</f>
        <v>27723214.52</v>
      </c>
      <c r="C4" s="413" t="s">
        <v>773</v>
      </c>
      <c r="D4" s="412">
        <f>D5+D15+D19+D7+D14</f>
        <v>-532693.6400000001</v>
      </c>
    </row>
    <row r="5" spans="1:4" ht="30">
      <c r="A5" s="450" t="s">
        <v>774</v>
      </c>
      <c r="B5" s="451">
        <f>B6+B7+B8+B9+B10</f>
        <v>23581.23</v>
      </c>
      <c r="C5" s="452" t="s">
        <v>775</v>
      </c>
      <c r="D5" s="451">
        <f>4441700+1707000</f>
        <v>6148700</v>
      </c>
    </row>
    <row r="6" spans="1:4" ht="75">
      <c r="A6" s="452" t="s">
        <v>776</v>
      </c>
      <c r="B6" s="451">
        <v>17447.53</v>
      </c>
      <c r="C6" s="452" t="s">
        <v>777</v>
      </c>
      <c r="D6" s="451"/>
    </row>
    <row r="7" spans="1:4" ht="30">
      <c r="A7" s="453" t="s">
        <v>778</v>
      </c>
      <c r="B7" s="451"/>
      <c r="C7" s="452" t="s">
        <v>779</v>
      </c>
      <c r="D7" s="451">
        <f>SUM(D8:D12)</f>
        <v>0</v>
      </c>
    </row>
    <row r="8" spans="1:4" ht="45">
      <c r="A8" s="453" t="s">
        <v>780</v>
      </c>
      <c r="B8" s="451"/>
      <c r="C8" s="452" t="s">
        <v>781</v>
      </c>
      <c r="D8" s="451"/>
    </row>
    <row r="9" spans="1:4" ht="30">
      <c r="A9" s="452" t="s">
        <v>782</v>
      </c>
      <c r="B9" s="451">
        <v>6133.7</v>
      </c>
      <c r="C9" s="452" t="s">
        <v>783</v>
      </c>
      <c r="D9" s="451">
        <v>0</v>
      </c>
    </row>
    <row r="10" spans="1:4" ht="30">
      <c r="A10" s="452" t="s">
        <v>784</v>
      </c>
      <c r="B10" s="451"/>
      <c r="C10" s="452" t="s">
        <v>785</v>
      </c>
      <c r="D10" s="451"/>
    </row>
    <row r="11" spans="1:4" ht="15">
      <c r="A11" s="452" t="s">
        <v>786</v>
      </c>
      <c r="B11" s="451">
        <f>B12+B13+B14+B15+B16+B17+B18</f>
        <v>19272818.45</v>
      </c>
      <c r="C11" s="452" t="s">
        <v>787</v>
      </c>
      <c r="D11" s="451"/>
    </row>
    <row r="12" spans="1:4" ht="15">
      <c r="A12" s="452" t="s">
        <v>788</v>
      </c>
      <c r="B12" s="451"/>
      <c r="C12" s="452" t="s">
        <v>789</v>
      </c>
      <c r="D12" s="451"/>
    </row>
    <row r="13" spans="1:4" ht="45">
      <c r="A13" s="452" t="s">
        <v>790</v>
      </c>
      <c r="B13" s="451"/>
      <c r="C13" s="452" t="s">
        <v>791</v>
      </c>
      <c r="D13" s="451"/>
    </row>
    <row r="14" spans="1:4" ht="30">
      <c r="A14" s="452" t="s">
        <v>792</v>
      </c>
      <c r="B14" s="451">
        <v>6754132.08</v>
      </c>
      <c r="C14" s="452" t="s">
        <v>793</v>
      </c>
      <c r="D14" s="451"/>
    </row>
    <row r="15" spans="1:4" ht="30">
      <c r="A15" s="452" t="s">
        <v>794</v>
      </c>
      <c r="B15" s="451">
        <v>11714581.62</v>
      </c>
      <c r="C15" s="452" t="s">
        <v>795</v>
      </c>
      <c r="D15" s="451">
        <f>D17</f>
        <v>-5747327.37</v>
      </c>
    </row>
    <row r="16" spans="1:4" ht="15">
      <c r="A16" s="452" t="s">
        <v>796</v>
      </c>
      <c r="B16" s="451">
        <v>804104.75</v>
      </c>
      <c r="C16" s="452" t="s">
        <v>797</v>
      </c>
      <c r="D16" s="451"/>
    </row>
    <row r="17" spans="1:4" ht="15">
      <c r="A17" s="452" t="s">
        <v>798</v>
      </c>
      <c r="B17" s="451"/>
      <c r="C17" s="452" t="s">
        <v>799</v>
      </c>
      <c r="D17" s="451">
        <v>-5747327.37</v>
      </c>
    </row>
    <row r="18" spans="1:4" ht="15">
      <c r="A18" s="452" t="s">
        <v>800</v>
      </c>
      <c r="B18" s="451"/>
      <c r="C18" s="452"/>
      <c r="D18" s="451"/>
    </row>
    <row r="19" spans="1:4" ht="30">
      <c r="A19" s="452" t="s">
        <v>801</v>
      </c>
      <c r="B19" s="451"/>
      <c r="C19" s="452" t="s">
        <v>802</v>
      </c>
      <c r="D19" s="451">
        <f>SUM(D20:D22)</f>
        <v>-934066.27</v>
      </c>
    </row>
    <row r="20" spans="1:4" ht="30">
      <c r="A20" s="452" t="s">
        <v>803</v>
      </c>
      <c r="B20" s="451"/>
      <c r="C20" s="452" t="s">
        <v>804</v>
      </c>
      <c r="D20" s="451"/>
    </row>
    <row r="21" spans="1:4" ht="30">
      <c r="A21" s="452" t="s">
        <v>805</v>
      </c>
      <c r="B21" s="451"/>
      <c r="C21" s="452" t="s">
        <v>806</v>
      </c>
      <c r="D21" s="451">
        <v>-934066.27</v>
      </c>
    </row>
    <row r="22" spans="1:4" ht="45">
      <c r="A22" s="452" t="s">
        <v>807</v>
      </c>
      <c r="B22" s="451"/>
      <c r="C22" s="452" t="s">
        <v>808</v>
      </c>
      <c r="D22" s="451"/>
    </row>
    <row r="23" spans="1:4" ht="15">
      <c r="A23" s="452" t="s">
        <v>809</v>
      </c>
      <c r="B23" s="451"/>
      <c r="C23" s="452"/>
      <c r="D23" s="451"/>
    </row>
    <row r="24" spans="1:4" ht="15">
      <c r="A24" s="452" t="s">
        <v>810</v>
      </c>
      <c r="B24" s="451">
        <v>8426814.84</v>
      </c>
      <c r="C24" s="452"/>
      <c r="D24" s="451"/>
    </row>
    <row r="25" spans="1:4" ht="15.75">
      <c r="A25" s="454" t="s">
        <v>140</v>
      </c>
      <c r="B25" s="412">
        <f>B26+B32+B38+B43</f>
        <v>10191013.01</v>
      </c>
      <c r="C25" s="454" t="s">
        <v>940</v>
      </c>
      <c r="D25" s="451"/>
    </row>
    <row r="26" spans="1:4" ht="45">
      <c r="A26" s="452" t="s">
        <v>811</v>
      </c>
      <c r="B26" s="451">
        <v>0</v>
      </c>
      <c r="C26" s="452" t="s">
        <v>812</v>
      </c>
      <c r="D26" s="451"/>
    </row>
    <row r="27" spans="1:4" ht="15">
      <c r="A27" s="452" t="s">
        <v>813</v>
      </c>
      <c r="B27" s="451"/>
      <c r="C27" s="452" t="s">
        <v>814</v>
      </c>
      <c r="D27" s="451"/>
    </row>
    <row r="28" spans="1:4" ht="31.5">
      <c r="A28" s="452" t="s">
        <v>815</v>
      </c>
      <c r="B28" s="451"/>
      <c r="C28" s="454" t="s">
        <v>943</v>
      </c>
      <c r="D28" s="412">
        <f>SUM(D29:D31)</f>
        <v>14499038.86</v>
      </c>
    </row>
    <row r="29" spans="1:4" ht="45">
      <c r="A29" s="452" t="s">
        <v>816</v>
      </c>
      <c r="B29" s="451"/>
      <c r="C29" s="452" t="s">
        <v>817</v>
      </c>
      <c r="D29" s="451"/>
    </row>
    <row r="30" spans="1:4" ht="30">
      <c r="A30" s="452" t="s">
        <v>818</v>
      </c>
      <c r="B30" s="451"/>
      <c r="C30" s="452" t="s">
        <v>819</v>
      </c>
      <c r="D30" s="451">
        <v>3729953.09</v>
      </c>
    </row>
    <row r="31" spans="1:4" ht="30">
      <c r="A31" s="452" t="s">
        <v>820</v>
      </c>
      <c r="B31" s="451"/>
      <c r="C31" s="452" t="s">
        <v>821</v>
      </c>
      <c r="D31" s="451">
        <v>10769085.77</v>
      </c>
    </row>
    <row r="32" spans="1:4" ht="47.25">
      <c r="A32" s="452" t="s">
        <v>822</v>
      </c>
      <c r="B32" s="451">
        <f>SUM(B33:B37)</f>
        <v>8370171.92</v>
      </c>
      <c r="C32" s="454" t="s">
        <v>947</v>
      </c>
      <c r="D32" s="412">
        <f>D33+D43</f>
        <v>15857425.250000002</v>
      </c>
    </row>
    <row r="33" spans="1:4" ht="30">
      <c r="A33" s="452" t="s">
        <v>823</v>
      </c>
      <c r="B33" s="451">
        <v>4004726.8</v>
      </c>
      <c r="C33" s="452" t="s">
        <v>824</v>
      </c>
      <c r="D33" s="451">
        <f>SUM(D34:D42)</f>
        <v>15802696.500000002</v>
      </c>
    </row>
    <row r="34" spans="1:4" ht="45">
      <c r="A34" s="452" t="s">
        <v>825</v>
      </c>
      <c r="B34" s="451">
        <v>35210.93</v>
      </c>
      <c r="C34" s="452" t="s">
        <v>826</v>
      </c>
      <c r="D34" s="451"/>
    </row>
    <row r="35" spans="1:4" ht="15">
      <c r="A35" s="452" t="s">
        <v>827</v>
      </c>
      <c r="B35" s="451"/>
      <c r="C35" s="452" t="s">
        <v>828</v>
      </c>
      <c r="D35" s="451">
        <v>1861809.74</v>
      </c>
    </row>
    <row r="36" spans="1:4" ht="30">
      <c r="A36" s="452" t="s">
        <v>829</v>
      </c>
      <c r="B36" s="451">
        <f>4062617.46+267616.73</f>
        <v>4330234.1899999995</v>
      </c>
      <c r="C36" s="452" t="s">
        <v>830</v>
      </c>
      <c r="D36" s="451"/>
    </row>
    <row r="37" spans="1:4" ht="30">
      <c r="A37" s="452" t="s">
        <v>831</v>
      </c>
      <c r="B37" s="451"/>
      <c r="C37" s="452" t="s">
        <v>832</v>
      </c>
      <c r="D37" s="451">
        <v>1524750.91</v>
      </c>
    </row>
    <row r="38" spans="1:4" ht="30">
      <c r="A38" s="452" t="s">
        <v>833</v>
      </c>
      <c r="B38" s="451">
        <v>0</v>
      </c>
      <c r="C38" s="452" t="s">
        <v>834</v>
      </c>
      <c r="D38" s="451">
        <v>0</v>
      </c>
    </row>
    <row r="39" spans="1:4" ht="45">
      <c r="A39" s="452" t="s">
        <v>835</v>
      </c>
      <c r="B39" s="451"/>
      <c r="C39" s="452" t="s">
        <v>836</v>
      </c>
      <c r="D39" s="451">
        <v>456775.26</v>
      </c>
    </row>
    <row r="40" spans="1:4" ht="30">
      <c r="A40" s="452" t="s">
        <v>837</v>
      </c>
      <c r="B40" s="451"/>
      <c r="C40" s="452" t="s">
        <v>838</v>
      </c>
      <c r="D40" s="451"/>
    </row>
    <row r="41" spans="1:4" ht="30">
      <c r="A41" s="452"/>
      <c r="B41" s="451"/>
      <c r="C41" s="452" t="s">
        <v>839</v>
      </c>
      <c r="D41" s="451"/>
    </row>
    <row r="42" spans="1:4" ht="30">
      <c r="A42" s="452"/>
      <c r="B42" s="451"/>
      <c r="C42" s="452" t="s">
        <v>840</v>
      </c>
      <c r="D42" s="451">
        <f>11899825.13+59535.46</f>
        <v>11959360.590000002</v>
      </c>
    </row>
    <row r="43" spans="1:4" ht="15">
      <c r="A43" s="452" t="s">
        <v>841</v>
      </c>
      <c r="B43" s="451">
        <f>B44+B45+B46</f>
        <v>1820841.09</v>
      </c>
      <c r="C43" s="452" t="s">
        <v>842</v>
      </c>
      <c r="D43" s="451">
        <v>54728.75</v>
      </c>
    </row>
    <row r="44" spans="1:4" ht="15">
      <c r="A44" s="452" t="s">
        <v>843</v>
      </c>
      <c r="B44" s="451"/>
      <c r="C44" s="452"/>
      <c r="D44" s="451"/>
    </row>
    <row r="45" spans="1:4" ht="15">
      <c r="A45" s="452" t="s">
        <v>844</v>
      </c>
      <c r="B45" s="451">
        <v>1820841.09</v>
      </c>
      <c r="C45" s="452"/>
      <c r="D45" s="451"/>
    </row>
    <row r="46" spans="1:4" ht="30">
      <c r="A46" s="452" t="s">
        <v>845</v>
      </c>
      <c r="B46" s="451"/>
      <c r="C46" s="452"/>
      <c r="D46" s="451"/>
    </row>
    <row r="47" spans="1:4" ht="63">
      <c r="A47" s="454" t="s">
        <v>160</v>
      </c>
      <c r="B47" s="412">
        <f>B48+B49</f>
        <v>198785.2</v>
      </c>
      <c r="C47" s="454" t="s">
        <v>846</v>
      </c>
      <c r="D47" s="412">
        <f>SUM(D48:D49)</f>
        <v>8289242.260000001</v>
      </c>
    </row>
    <row r="48" spans="1:4" ht="30">
      <c r="A48" s="452" t="s">
        <v>847</v>
      </c>
      <c r="B48" s="451">
        <v>198785.2</v>
      </c>
      <c r="C48" s="452" t="s">
        <v>848</v>
      </c>
      <c r="D48" s="451"/>
    </row>
    <row r="49" spans="1:4" ht="30">
      <c r="A49" s="452" t="s">
        <v>849</v>
      </c>
      <c r="B49" s="451"/>
      <c r="C49" s="452" t="s">
        <v>850</v>
      </c>
      <c r="D49" s="451">
        <f>8248775.98+40466.28</f>
        <v>8289242.260000001</v>
      </c>
    </row>
    <row r="50" spans="1:4" ht="15.75">
      <c r="A50" s="455" t="s">
        <v>1625</v>
      </c>
      <c r="B50" s="412">
        <f>B47+B25+B4</f>
        <v>38113012.73</v>
      </c>
      <c r="C50" s="455" t="s">
        <v>1666</v>
      </c>
      <c r="D50" s="412">
        <f>D4+D28+D32+D47</f>
        <v>38113012.73</v>
      </c>
    </row>
    <row r="53" spans="1:37" ht="18.75">
      <c r="A53" s="456"/>
      <c r="B53" s="456"/>
      <c r="C53" s="457" t="s">
        <v>852</v>
      </c>
      <c r="D53" s="458"/>
      <c r="E53" s="458"/>
      <c r="F53" s="458"/>
      <c r="G53" s="458"/>
      <c r="H53" s="458"/>
      <c r="I53" s="458"/>
      <c r="J53" s="458"/>
      <c r="K53" s="458"/>
      <c r="L53" s="458"/>
      <c r="M53" s="458"/>
      <c r="N53" s="458"/>
      <c r="O53" s="458"/>
      <c r="P53" s="458"/>
      <c r="Q53" s="458"/>
      <c r="R53" s="458"/>
      <c r="S53" s="459"/>
      <c r="T53" s="456"/>
      <c r="U53" s="458"/>
      <c r="V53" s="458"/>
      <c r="W53" s="458"/>
      <c r="X53" s="456"/>
      <c r="Y53" s="460"/>
      <c r="Z53" s="460"/>
      <c r="AA53" s="461"/>
      <c r="AB53" s="462"/>
      <c r="AC53" s="462"/>
      <c r="AD53" s="462"/>
      <c r="AE53" s="462"/>
      <c r="AH53" s="463"/>
      <c r="AI53" s="464"/>
      <c r="AJ53" s="464"/>
      <c r="AK53" s="465"/>
    </row>
    <row r="54" spans="1:4" ht="14.25">
      <c r="A54" s="466" t="s">
        <v>853</v>
      </c>
      <c r="B54" s="467" t="s">
        <v>854</v>
      </c>
      <c r="C54" s="466" t="s">
        <v>1669</v>
      </c>
      <c r="D54" s="467" t="s">
        <v>854</v>
      </c>
    </row>
    <row r="55" spans="1:3" ht="14.25">
      <c r="A55" s="466"/>
      <c r="B55" s="468"/>
      <c r="C55" s="466"/>
    </row>
    <row r="56" spans="1:4" ht="15">
      <c r="A56" s="472" t="s">
        <v>855</v>
      </c>
      <c r="B56" s="473">
        <f>SUM(B60:B66)</f>
        <v>4761670.76</v>
      </c>
      <c r="C56" s="472" t="s">
        <v>856</v>
      </c>
      <c r="D56" s="473">
        <f>D58</f>
        <v>6747377.45</v>
      </c>
    </row>
    <row r="57" spans="1:4" ht="14.25">
      <c r="A57" s="469"/>
      <c r="B57" s="470"/>
      <c r="C57" s="469"/>
      <c r="D57" s="219"/>
    </row>
    <row r="58" spans="1:4" ht="15">
      <c r="A58" s="291" t="s">
        <v>857</v>
      </c>
      <c r="B58" s="470"/>
      <c r="C58" s="469" t="s">
        <v>858</v>
      </c>
      <c r="D58" s="473">
        <v>6747377.45</v>
      </c>
    </row>
    <row r="59" spans="1:4" ht="15">
      <c r="A59" s="291" t="s">
        <v>859</v>
      </c>
      <c r="B59" s="470"/>
      <c r="C59" s="474"/>
      <c r="D59" s="475"/>
    </row>
    <row r="60" spans="1:4" ht="14.25">
      <c r="A60" s="291" t="s">
        <v>577</v>
      </c>
      <c r="B60" s="470">
        <v>80514.74</v>
      </c>
      <c r="C60" s="469" t="s">
        <v>102</v>
      </c>
      <c r="D60" s="219"/>
    </row>
    <row r="61" spans="1:4" ht="14.25">
      <c r="A61" s="291" t="s">
        <v>104</v>
      </c>
      <c r="B61" s="470">
        <v>726265.4</v>
      </c>
      <c r="C61" s="469" t="s">
        <v>860</v>
      </c>
      <c r="D61" s="219"/>
    </row>
    <row r="62" spans="1:4" ht="14.25">
      <c r="A62" s="291" t="s">
        <v>861</v>
      </c>
      <c r="B62" s="470">
        <v>204247.2</v>
      </c>
      <c r="C62" s="469" t="s">
        <v>862</v>
      </c>
      <c r="D62" s="219"/>
    </row>
    <row r="63" spans="1:4" ht="14.25">
      <c r="A63" s="291" t="s">
        <v>580</v>
      </c>
      <c r="B63" s="470">
        <v>504156.98</v>
      </c>
      <c r="C63" s="469" t="s">
        <v>863</v>
      </c>
      <c r="D63" s="219"/>
    </row>
    <row r="64" spans="1:4" ht="14.25">
      <c r="A64" s="291" t="s">
        <v>864</v>
      </c>
      <c r="B64" s="470">
        <v>124736.32</v>
      </c>
      <c r="C64" s="469"/>
      <c r="D64" s="219"/>
    </row>
    <row r="65" spans="1:4" ht="14.25">
      <c r="A65" s="291" t="s">
        <v>582</v>
      </c>
      <c r="B65" s="470">
        <v>2767923.03</v>
      </c>
      <c r="C65" s="469"/>
      <c r="D65" s="219"/>
    </row>
    <row r="66" spans="1:4" ht="14.25">
      <c r="A66" s="291" t="s">
        <v>83</v>
      </c>
      <c r="B66" s="470">
        <v>353827.09</v>
      </c>
      <c r="C66" s="469"/>
      <c r="D66" s="219"/>
    </row>
    <row r="67" spans="1:4" ht="15">
      <c r="A67" s="469" t="s">
        <v>865</v>
      </c>
      <c r="B67" s="476">
        <f>D56-B56</f>
        <v>1985706.6900000004</v>
      </c>
      <c r="C67" s="469" t="s">
        <v>866</v>
      </c>
      <c r="D67" s="219"/>
    </row>
    <row r="68" spans="1:4" ht="15">
      <c r="A68" s="472" t="s">
        <v>588</v>
      </c>
      <c r="B68" s="473">
        <f>SUM(B70:B71)</f>
        <v>3835184.5799999996</v>
      </c>
      <c r="C68" s="472" t="s">
        <v>867</v>
      </c>
      <c r="D68" s="473">
        <f>D70+D72</f>
        <v>3048240.69</v>
      </c>
    </row>
    <row r="69" spans="1:4" ht="15">
      <c r="A69" s="291" t="s">
        <v>868</v>
      </c>
      <c r="B69" s="470"/>
      <c r="C69" s="469" t="s">
        <v>869</v>
      </c>
      <c r="D69" s="473"/>
    </row>
    <row r="70" spans="1:4" ht="15">
      <c r="A70" s="291" t="s">
        <v>870</v>
      </c>
      <c r="B70" s="473">
        <v>3687005.78</v>
      </c>
      <c r="C70" s="469" t="s">
        <v>870</v>
      </c>
      <c r="D70" s="473">
        <v>2943411.79</v>
      </c>
    </row>
    <row r="71" spans="1:4" ht="15">
      <c r="A71" s="291" t="s">
        <v>588</v>
      </c>
      <c r="B71" s="473">
        <v>148178.8</v>
      </c>
      <c r="C71" s="469" t="s">
        <v>589</v>
      </c>
      <c r="D71" s="473"/>
    </row>
    <row r="72" spans="1:4" ht="15">
      <c r="A72" s="291"/>
      <c r="B72" s="470"/>
      <c r="C72" s="469" t="s">
        <v>871</v>
      </c>
      <c r="D72" s="473">
        <v>104828.9</v>
      </c>
    </row>
    <row r="73" spans="1:4" ht="15">
      <c r="A73" s="469" t="s">
        <v>593</v>
      </c>
      <c r="B73" s="476">
        <f>B67-B68+D68</f>
        <v>1198762.8000000007</v>
      </c>
      <c r="C73" s="469"/>
      <c r="D73" s="219"/>
    </row>
    <row r="74" spans="1:4" ht="14.25">
      <c r="A74" s="291"/>
      <c r="B74" s="470"/>
      <c r="C74" s="469" t="s">
        <v>872</v>
      </c>
      <c r="D74" s="219"/>
    </row>
    <row r="75" spans="1:4" ht="15">
      <c r="A75" s="290" t="s">
        <v>594</v>
      </c>
      <c r="B75" s="473">
        <f>B78+B80</f>
        <v>2333306.1100000003</v>
      </c>
      <c r="C75" s="472" t="s">
        <v>1675</v>
      </c>
      <c r="D75" s="473">
        <f>SUM(D78:D79)</f>
        <v>200477.04</v>
      </c>
    </row>
    <row r="76" spans="1:4" ht="14.25">
      <c r="A76" s="291" t="s">
        <v>873</v>
      </c>
      <c r="B76" s="470"/>
      <c r="C76" s="469" t="s">
        <v>874</v>
      </c>
      <c r="D76" s="219"/>
    </row>
    <row r="77" spans="1:4" ht="14.25">
      <c r="A77" s="291" t="s">
        <v>875</v>
      </c>
      <c r="B77" s="470"/>
      <c r="C77" s="469" t="s">
        <v>876</v>
      </c>
      <c r="D77" s="219"/>
    </row>
    <row r="78" spans="1:4" ht="15">
      <c r="A78" s="291" t="s">
        <v>877</v>
      </c>
      <c r="B78" s="476">
        <v>2214060.43</v>
      </c>
      <c r="C78" s="469" t="s">
        <v>598</v>
      </c>
      <c r="D78" s="58">
        <v>159142.44</v>
      </c>
    </row>
    <row r="79" spans="1:4" ht="15">
      <c r="A79" s="291" t="s">
        <v>878</v>
      </c>
      <c r="B79" s="470"/>
      <c r="C79" s="469" t="s">
        <v>83</v>
      </c>
      <c r="D79" s="473">
        <v>41334.6</v>
      </c>
    </row>
    <row r="80" spans="1:4" ht="15.75" thickBot="1">
      <c r="A80" s="291" t="s">
        <v>83</v>
      </c>
      <c r="B80" s="476">
        <v>119245.68</v>
      </c>
      <c r="C80" s="469"/>
      <c r="D80" s="219"/>
    </row>
    <row r="81" spans="1:4" ht="15.75" thickBot="1">
      <c r="A81" s="291" t="s">
        <v>879</v>
      </c>
      <c r="B81" s="477"/>
      <c r="C81" s="469" t="s">
        <v>880</v>
      </c>
      <c r="D81" s="473">
        <f>(B73-B75+D75)*-1</f>
        <v>934066.2699999996</v>
      </c>
    </row>
    <row r="82" spans="1:4" ht="14.25">
      <c r="A82" s="291" t="s">
        <v>95</v>
      </c>
      <c r="B82" s="478"/>
      <c r="C82" s="469" t="s">
        <v>72</v>
      </c>
      <c r="D82" s="219"/>
    </row>
    <row r="83" spans="1:4" ht="15">
      <c r="A83" s="291" t="s">
        <v>881</v>
      </c>
      <c r="B83" s="479"/>
      <c r="C83" s="469" t="s">
        <v>882</v>
      </c>
      <c r="D83" s="473">
        <f>D81</f>
        <v>934066.2699999996</v>
      </c>
    </row>
    <row r="84" spans="1:4" ht="14.25">
      <c r="A84" s="291" t="s">
        <v>883</v>
      </c>
      <c r="B84" s="479"/>
      <c r="C84" s="469"/>
      <c r="D84" s="219"/>
    </row>
    <row r="85" spans="1:4" ht="14.25">
      <c r="A85" s="291" t="s">
        <v>884</v>
      </c>
      <c r="B85" s="470"/>
      <c r="C85" s="469"/>
      <c r="D85" s="219"/>
    </row>
    <row r="86" spans="1:4" ht="14.25">
      <c r="A86" s="291" t="s">
        <v>885</v>
      </c>
      <c r="B86" s="470"/>
      <c r="C86" s="469"/>
      <c r="D86" s="480"/>
    </row>
    <row r="87" spans="1:4" ht="15">
      <c r="A87" s="471" t="s">
        <v>886</v>
      </c>
      <c r="B87" s="473">
        <f>B83-B85</f>
        <v>0</v>
      </c>
      <c r="C87" s="471" t="s">
        <v>887</v>
      </c>
      <c r="D87" s="473">
        <f>D83</f>
        <v>934066.2699999996</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189"/>
  <sheetViews>
    <sheetView workbookViewId="0" topLeftCell="A1">
      <selection activeCell="E9" sqref="E9"/>
    </sheetView>
  </sheetViews>
  <sheetFormatPr defaultColWidth="9.140625" defaultRowHeight="12.75"/>
  <cols>
    <col min="1" max="1" width="52.57421875" style="0" customWidth="1"/>
    <col min="2" max="2" width="19.421875" style="0" customWidth="1"/>
  </cols>
  <sheetData>
    <row r="1" spans="1:2" ht="12.75">
      <c r="A1" s="28" t="s">
        <v>1263</v>
      </c>
      <c r="B1" s="28" t="s">
        <v>505</v>
      </c>
    </row>
    <row r="2" spans="1:2" ht="12.75">
      <c r="A2" s="67" t="s">
        <v>1578</v>
      </c>
      <c r="B2" s="327">
        <v>37072</v>
      </c>
    </row>
    <row r="3" ht="12.75">
      <c r="B3" s="327"/>
    </row>
    <row r="4" spans="1:2" ht="12.75">
      <c r="A4" t="s">
        <v>1581</v>
      </c>
      <c r="B4" s="326">
        <v>6319396.99</v>
      </c>
    </row>
    <row r="5" spans="1:2" ht="12.75">
      <c r="A5" t="s">
        <v>1227</v>
      </c>
      <c r="B5" s="326">
        <v>290215.54</v>
      </c>
    </row>
    <row r="6" ht="12.75">
      <c r="A6" t="s">
        <v>1228</v>
      </c>
    </row>
    <row r="7" ht="12.75">
      <c r="A7" t="s">
        <v>1229</v>
      </c>
    </row>
    <row r="8" ht="12.75">
      <c r="A8" t="s">
        <v>1230</v>
      </c>
    </row>
    <row r="9" spans="1:2" ht="12.75">
      <c r="A9" t="s">
        <v>1231</v>
      </c>
      <c r="B9" s="326">
        <v>290215.54</v>
      </c>
    </row>
    <row r="10" ht="12.75">
      <c r="A10" t="s">
        <v>1232</v>
      </c>
    </row>
    <row r="11" spans="1:2" ht="12.75">
      <c r="A11" t="s">
        <v>1588</v>
      </c>
      <c r="B11" s="326">
        <v>6021952.33</v>
      </c>
    </row>
    <row r="12" ht="12.75">
      <c r="A12" t="s">
        <v>1233</v>
      </c>
    </row>
    <row r="13" spans="1:2" ht="12.75">
      <c r="A13" t="s">
        <v>1234</v>
      </c>
      <c r="B13" s="326">
        <v>5115704.37</v>
      </c>
    </row>
    <row r="14" spans="1:2" ht="12.75">
      <c r="A14" t="s">
        <v>1235</v>
      </c>
      <c r="B14" s="326">
        <v>47474.12</v>
      </c>
    </row>
    <row r="15" spans="1:2" ht="12.75">
      <c r="A15" t="s">
        <v>1236</v>
      </c>
      <c r="B15" s="326">
        <v>730076.31</v>
      </c>
    </row>
    <row r="16" spans="1:2" ht="12.75">
      <c r="A16" t="s">
        <v>1237</v>
      </c>
      <c r="B16" s="326">
        <v>128697.53</v>
      </c>
    </row>
    <row r="17" ht="12.75">
      <c r="A17" t="s">
        <v>1238</v>
      </c>
    </row>
    <row r="18" ht="12.75">
      <c r="A18" t="s">
        <v>1239</v>
      </c>
    </row>
    <row r="19" spans="1:2" ht="12.75">
      <c r="A19" t="s">
        <v>1596</v>
      </c>
      <c r="B19" s="326">
        <v>7229.12</v>
      </c>
    </row>
    <row r="20" spans="1:2" ht="12.75">
      <c r="A20" t="s">
        <v>1240</v>
      </c>
      <c r="B20" s="326">
        <v>7229.12</v>
      </c>
    </row>
    <row r="21" ht="12.75">
      <c r="A21" t="s">
        <v>1241</v>
      </c>
    </row>
    <row r="22" ht="12.75">
      <c r="A22" t="s">
        <v>1242</v>
      </c>
    </row>
    <row r="23" ht="12.75">
      <c r="A23" t="s">
        <v>1243</v>
      </c>
    </row>
    <row r="24" ht="12.75">
      <c r="A24" t="s">
        <v>1601</v>
      </c>
    </row>
    <row r="25" spans="1:2" ht="12.75">
      <c r="A25" t="s">
        <v>1602</v>
      </c>
      <c r="B25" s="326">
        <v>3255669.84</v>
      </c>
    </row>
    <row r="26" spans="1:2" ht="12.75">
      <c r="A26" t="s">
        <v>1603</v>
      </c>
      <c r="B26" s="326">
        <v>30258.74</v>
      </c>
    </row>
    <row r="27" ht="12.75">
      <c r="A27" t="s">
        <v>1244</v>
      </c>
    </row>
    <row r="28" ht="12.75">
      <c r="A28" t="s">
        <v>1245</v>
      </c>
    </row>
    <row r="29" ht="12.75">
      <c r="A29" t="s">
        <v>1246</v>
      </c>
    </row>
    <row r="30" spans="1:2" ht="12.75">
      <c r="A30" t="s">
        <v>1247</v>
      </c>
      <c r="B30" s="326">
        <v>30258.74</v>
      </c>
    </row>
    <row r="31" ht="12.75">
      <c r="A31" t="s">
        <v>1248</v>
      </c>
    </row>
    <row r="32" spans="1:2" ht="12.75">
      <c r="A32" t="s">
        <v>1249</v>
      </c>
      <c r="B32" s="326">
        <v>2599737.46</v>
      </c>
    </row>
    <row r="33" spans="1:2" ht="12.75">
      <c r="A33" t="s">
        <v>1250</v>
      </c>
      <c r="B33" s="326">
        <v>618526.82</v>
      </c>
    </row>
    <row r="34" spans="1:2" ht="12.75">
      <c r="A34" t="s">
        <v>1251</v>
      </c>
      <c r="B34" s="326">
        <v>28489.04</v>
      </c>
    </row>
    <row r="35" ht="12.75">
      <c r="A35" t="s">
        <v>1252</v>
      </c>
    </row>
    <row r="36" spans="1:2" ht="12.75">
      <c r="A36" t="s">
        <v>1253</v>
      </c>
      <c r="B36" s="326">
        <v>1952721.6</v>
      </c>
    </row>
    <row r="37" ht="12.75">
      <c r="A37" t="s">
        <v>1254</v>
      </c>
    </row>
    <row r="38" ht="12.75">
      <c r="A38" t="s">
        <v>1255</v>
      </c>
    </row>
    <row r="39" ht="12.75">
      <c r="A39" t="s">
        <v>1256</v>
      </c>
    </row>
    <row r="40" ht="12.75">
      <c r="A40" t="s">
        <v>1257</v>
      </c>
    </row>
    <row r="41" spans="1:2" ht="12.75">
      <c r="A41" t="s">
        <v>1618</v>
      </c>
      <c r="B41" s="326">
        <v>625673.64</v>
      </c>
    </row>
    <row r="42" spans="1:2" ht="12.75">
      <c r="A42" t="s">
        <v>1258</v>
      </c>
      <c r="B42">
        <v>826.15</v>
      </c>
    </row>
    <row r="43" spans="1:2" ht="12.75">
      <c r="A43" t="s">
        <v>1259</v>
      </c>
      <c r="B43" s="326">
        <v>624847.49</v>
      </c>
    </row>
    <row r="44" ht="12.75">
      <c r="A44" t="s">
        <v>1260</v>
      </c>
    </row>
    <row r="45" spans="1:2" ht="12.75">
      <c r="A45" t="s">
        <v>1622</v>
      </c>
      <c r="B45" s="326">
        <v>221550.4</v>
      </c>
    </row>
    <row r="46" spans="1:2" ht="12.75">
      <c r="A46" t="s">
        <v>1261</v>
      </c>
      <c r="B46" s="326">
        <v>221550.4</v>
      </c>
    </row>
    <row r="47" ht="12.75">
      <c r="A47" t="s">
        <v>1262</v>
      </c>
    </row>
    <row r="48" spans="1:2" ht="12.75">
      <c r="A48" t="s">
        <v>341</v>
      </c>
      <c r="B48" s="326">
        <v>9796617.23</v>
      </c>
    </row>
    <row r="50" spans="1:2" ht="12.75">
      <c r="A50" s="67" t="s">
        <v>1626</v>
      </c>
      <c r="B50" s="327">
        <v>37072</v>
      </c>
    </row>
    <row r="51" spans="1:2" ht="12.75">
      <c r="A51" t="s">
        <v>1264</v>
      </c>
      <c r="B51" s="326">
        <v>2459236.76</v>
      </c>
    </row>
    <row r="52" spans="1:2" ht="12.75">
      <c r="A52" t="s">
        <v>344</v>
      </c>
      <c r="B52" s="326">
        <v>2394100</v>
      </c>
    </row>
    <row r="53" ht="12.75">
      <c r="A53" t="s">
        <v>1265</v>
      </c>
    </row>
    <row r="54" spans="1:2" ht="12.75">
      <c r="A54" t="s">
        <v>346</v>
      </c>
      <c r="B54" s="326">
        <v>46429.8</v>
      </c>
    </row>
    <row r="55" ht="12.75">
      <c r="A55" t="s">
        <v>1266</v>
      </c>
    </row>
    <row r="56" spans="1:2" ht="12.75">
      <c r="A56" t="s">
        <v>1267</v>
      </c>
      <c r="B56" s="326">
        <v>1142.93</v>
      </c>
    </row>
    <row r="57" ht="12.75">
      <c r="A57" t="s">
        <v>1268</v>
      </c>
    </row>
    <row r="58" ht="12.75">
      <c r="A58" t="s">
        <v>1269</v>
      </c>
    </row>
    <row r="59" spans="1:2" ht="12.75">
      <c r="A59" t="s">
        <v>1270</v>
      </c>
      <c r="B59" s="326">
        <v>45286.87</v>
      </c>
    </row>
    <row r="60" ht="12.75">
      <c r="A60" t="s">
        <v>349</v>
      </c>
    </row>
    <row r="61" ht="12.75">
      <c r="A61" t="s">
        <v>1271</v>
      </c>
    </row>
    <row r="62" ht="12.75">
      <c r="A62" t="s">
        <v>1638</v>
      </c>
    </row>
    <row r="63" ht="12.75">
      <c r="A63" t="s">
        <v>1272</v>
      </c>
    </row>
    <row r="64" ht="12.75">
      <c r="A64" t="s">
        <v>1273</v>
      </c>
    </row>
    <row r="65" spans="1:2" ht="12.75">
      <c r="A65" t="s">
        <v>1641</v>
      </c>
      <c r="B65" s="326">
        <v>18706.96</v>
      </c>
    </row>
    <row r="66" spans="1:2" ht="12.75">
      <c r="A66" t="s">
        <v>1274</v>
      </c>
      <c r="B66" s="326">
        <v>18706.96</v>
      </c>
    </row>
    <row r="67" ht="12.75">
      <c r="A67" t="s">
        <v>1275</v>
      </c>
    </row>
    <row r="68" ht="12.75">
      <c r="A68" t="s">
        <v>1276</v>
      </c>
    </row>
    <row r="69" ht="12.75">
      <c r="A69" t="s">
        <v>1644</v>
      </c>
    </row>
    <row r="70" ht="12.75">
      <c r="A70" t="s">
        <v>1277</v>
      </c>
    </row>
    <row r="71" ht="12.75">
      <c r="A71" t="s">
        <v>1278</v>
      </c>
    </row>
    <row r="72" spans="1:2" ht="12.75">
      <c r="A72" t="s">
        <v>1647</v>
      </c>
      <c r="B72" s="326">
        <v>3898294.7</v>
      </c>
    </row>
    <row r="73" ht="12.75">
      <c r="A73" t="s">
        <v>1279</v>
      </c>
    </row>
    <row r="74" spans="1:2" ht="12.75">
      <c r="A74" t="s">
        <v>1280</v>
      </c>
      <c r="B74" s="326">
        <v>3898294.7</v>
      </c>
    </row>
    <row r="75" ht="12.75">
      <c r="A75" t="s">
        <v>1281</v>
      </c>
    </row>
    <row r="76" spans="1:2" ht="12.75">
      <c r="A76" t="s">
        <v>1651</v>
      </c>
      <c r="B76" s="326">
        <v>3402485.77</v>
      </c>
    </row>
    <row r="77" spans="1:2" ht="12.75">
      <c r="A77" t="s">
        <v>1652</v>
      </c>
      <c r="B77" s="326">
        <v>3093305.08</v>
      </c>
    </row>
    <row r="78" ht="12.75">
      <c r="A78" t="s">
        <v>1282</v>
      </c>
    </row>
    <row r="79" ht="12.75">
      <c r="A79" t="s">
        <v>1283</v>
      </c>
    </row>
    <row r="80" ht="12.75">
      <c r="A80" t="s">
        <v>1284</v>
      </c>
    </row>
    <row r="81" spans="1:2" ht="12.75">
      <c r="A81" t="s">
        <v>1285</v>
      </c>
      <c r="B81" s="326">
        <v>630930.97</v>
      </c>
    </row>
    <row r="82" ht="12.75">
      <c r="A82" t="s">
        <v>1286</v>
      </c>
    </row>
    <row r="83" spans="1:2" ht="12.75">
      <c r="A83" t="s">
        <v>1287</v>
      </c>
      <c r="B83" s="326">
        <v>502370.77</v>
      </c>
    </row>
    <row r="84" spans="1:2" ht="12.75">
      <c r="A84" t="s">
        <v>1288</v>
      </c>
      <c r="B84" s="326">
        <v>184099.43</v>
      </c>
    </row>
    <row r="85" ht="12.75">
      <c r="A85" t="s">
        <v>1289</v>
      </c>
    </row>
    <row r="86" spans="1:2" ht="12.75">
      <c r="A86" t="s">
        <v>1290</v>
      </c>
      <c r="B86" s="326">
        <v>1775903.91</v>
      </c>
    </row>
    <row r="87" spans="1:2" ht="12.75">
      <c r="A87" t="s">
        <v>1662</v>
      </c>
      <c r="B87" s="326">
        <v>309180.69</v>
      </c>
    </row>
    <row r="88" spans="1:2" ht="12.75">
      <c r="A88" t="s">
        <v>1291</v>
      </c>
      <c r="B88" s="326">
        <v>36600</v>
      </c>
    </row>
    <row r="89" spans="1:2" ht="12.75">
      <c r="A89" t="s">
        <v>1292</v>
      </c>
      <c r="B89" s="326">
        <v>36600</v>
      </c>
    </row>
    <row r="90" ht="12.75">
      <c r="A90" t="s">
        <v>1293</v>
      </c>
    </row>
    <row r="91" spans="1:2" ht="12.75">
      <c r="A91" t="s">
        <v>385</v>
      </c>
      <c r="B91" s="326">
        <v>9796617.23</v>
      </c>
    </row>
    <row r="93" spans="1:2" ht="12.75">
      <c r="A93" s="67" t="s">
        <v>1336</v>
      </c>
      <c r="B93" s="327">
        <v>37072</v>
      </c>
    </row>
    <row r="94" spans="1:2" ht="12.75">
      <c r="A94" t="s">
        <v>1294</v>
      </c>
      <c r="B94" s="326">
        <v>6762135.84</v>
      </c>
    </row>
    <row r="95" spans="1:2" ht="12.75">
      <c r="A95" t="s">
        <v>1295</v>
      </c>
      <c r="B95" s="326">
        <v>5322598.19</v>
      </c>
    </row>
    <row r="96" spans="1:2" ht="12.75">
      <c r="A96" t="s">
        <v>1296</v>
      </c>
      <c r="B96" s="326">
        <v>132200.52</v>
      </c>
    </row>
    <row r="97" spans="1:2" ht="12.75">
      <c r="A97" t="s">
        <v>1297</v>
      </c>
      <c r="B97" s="326">
        <v>1307337.13</v>
      </c>
    </row>
    <row r="98" ht="12.75">
      <c r="A98" t="s">
        <v>1298</v>
      </c>
    </row>
    <row r="99" spans="1:2" ht="12.75">
      <c r="A99" t="s">
        <v>1299</v>
      </c>
      <c r="B99" s="326">
        <v>6638329.42</v>
      </c>
    </row>
    <row r="100" spans="1:2" ht="12.75">
      <c r="A100" t="s">
        <v>397</v>
      </c>
      <c r="B100" s="326">
        <v>1287193.18</v>
      </c>
    </row>
    <row r="101" spans="1:2" ht="12.75">
      <c r="A101" t="s">
        <v>398</v>
      </c>
      <c r="B101" s="326">
        <v>288741.16</v>
      </c>
    </row>
    <row r="102" spans="1:2" ht="12.75">
      <c r="A102" t="s">
        <v>399</v>
      </c>
      <c r="B102" s="326">
        <v>919537.17</v>
      </c>
    </row>
    <row r="103" spans="1:2" ht="12.75">
      <c r="A103" t="s">
        <v>400</v>
      </c>
      <c r="B103" s="326">
        <v>85363.65</v>
      </c>
    </row>
    <row r="104" spans="1:2" ht="12.75">
      <c r="A104" t="s">
        <v>401</v>
      </c>
      <c r="B104" s="326">
        <v>2662105.89</v>
      </c>
    </row>
    <row r="105" spans="1:2" ht="12.75">
      <c r="A105" t="s">
        <v>402</v>
      </c>
      <c r="B105" s="326">
        <v>967591.13</v>
      </c>
    </row>
    <row r="106" spans="1:2" ht="12.75">
      <c r="A106" t="s">
        <v>403</v>
      </c>
      <c r="B106" s="326">
        <v>236174.32</v>
      </c>
    </row>
    <row r="107" spans="1:2" ht="12.75">
      <c r="A107" t="s">
        <v>404</v>
      </c>
      <c r="B107" s="326">
        <v>191622.92</v>
      </c>
    </row>
    <row r="108" spans="1:2" ht="12.75">
      <c r="A108" t="s">
        <v>405</v>
      </c>
      <c r="B108" s="326">
        <v>123806.42</v>
      </c>
    </row>
    <row r="109" spans="1:2" ht="12.75">
      <c r="A109" t="s">
        <v>406</v>
      </c>
      <c r="B109" s="326">
        <v>27269.05</v>
      </c>
    </row>
    <row r="110" ht="12.75">
      <c r="A110" t="s">
        <v>407</v>
      </c>
    </row>
    <row r="111" ht="12.75">
      <c r="A111" t="s">
        <v>408</v>
      </c>
    </row>
    <row r="112" spans="1:2" ht="12.75">
      <c r="A112" t="s">
        <v>409</v>
      </c>
      <c r="B112" s="326">
        <v>27269.05</v>
      </c>
    </row>
    <row r="113" spans="1:2" ht="12.75">
      <c r="A113" t="s">
        <v>410</v>
      </c>
      <c r="B113" s="326">
        <v>3363.7</v>
      </c>
    </row>
    <row r="114" ht="12.75">
      <c r="A114" t="s">
        <v>411</v>
      </c>
    </row>
    <row r="115" spans="1:2" ht="12.75">
      <c r="A115" t="s">
        <v>412</v>
      </c>
      <c r="B115" s="326">
        <v>3363.7</v>
      </c>
    </row>
    <row r="116" spans="1:2" ht="12.75">
      <c r="A116" t="s">
        <v>413</v>
      </c>
      <c r="B116" s="326">
        <v>147711.77</v>
      </c>
    </row>
    <row r="117" spans="1:2" ht="12.75">
      <c r="A117" t="s">
        <v>414</v>
      </c>
      <c r="B117" s="326">
        <v>23118.34</v>
      </c>
    </row>
    <row r="118" ht="12.75">
      <c r="A118" t="s">
        <v>415</v>
      </c>
    </row>
    <row r="119" spans="1:2" ht="12.75">
      <c r="A119" t="s">
        <v>416</v>
      </c>
      <c r="B119" s="326">
        <v>23118.34</v>
      </c>
    </row>
    <row r="120" ht="12.75">
      <c r="A120" t="s">
        <v>62</v>
      </c>
    </row>
    <row r="121" spans="1:2" ht="12.75">
      <c r="A121" t="s">
        <v>417</v>
      </c>
      <c r="B121" s="326">
        <v>129512.81</v>
      </c>
    </row>
    <row r="122" ht="12.75">
      <c r="A122" t="s">
        <v>418</v>
      </c>
    </row>
    <row r="123" spans="1:2" ht="12.75">
      <c r="A123" t="s">
        <v>419</v>
      </c>
      <c r="B123" s="326">
        <v>127752.72</v>
      </c>
    </row>
    <row r="124" spans="1:2" ht="12.75">
      <c r="A124" t="s">
        <v>62</v>
      </c>
      <c r="B124" s="326">
        <v>1760.09</v>
      </c>
    </row>
    <row r="125" spans="1:2" ht="12.75">
      <c r="A125" t="s">
        <v>420</v>
      </c>
      <c r="B125" s="326">
        <v>41317.3</v>
      </c>
    </row>
    <row r="126" spans="1:2" ht="12.75">
      <c r="A126" t="s">
        <v>421</v>
      </c>
      <c r="B126" s="326">
        <v>8368.1</v>
      </c>
    </row>
    <row r="127" spans="1:2" ht="12.75">
      <c r="A127" t="s">
        <v>999</v>
      </c>
      <c r="B127" s="326">
        <v>12371.44</v>
      </c>
    </row>
    <row r="128" spans="1:2" ht="12.75">
      <c r="A128" t="s">
        <v>422</v>
      </c>
      <c r="B128" s="326">
        <v>37313.96</v>
      </c>
    </row>
    <row r="129" spans="1:2" ht="12.75">
      <c r="A129" t="s">
        <v>423</v>
      </c>
      <c r="B129" s="326">
        <v>18607</v>
      </c>
    </row>
    <row r="130" spans="1:2" ht="12.75">
      <c r="A130" t="s">
        <v>424</v>
      </c>
      <c r="B130" s="326">
        <v>18607</v>
      </c>
    </row>
    <row r="131" ht="12.75">
      <c r="A131" t="s">
        <v>425</v>
      </c>
    </row>
    <row r="132" spans="1:2" ht="12.75">
      <c r="A132" t="s">
        <v>426</v>
      </c>
      <c r="B132" s="326">
        <v>18706.96</v>
      </c>
    </row>
    <row r="147" ht="12.75">
      <c r="A147" t="s">
        <v>427</v>
      </c>
    </row>
    <row r="149" spans="1:2" ht="12.75">
      <c r="A149" t="s">
        <v>428</v>
      </c>
      <c r="B149" t="s">
        <v>429</v>
      </c>
    </row>
    <row r="151" spans="1:2" ht="12.75">
      <c r="A151" t="s">
        <v>1294</v>
      </c>
      <c r="B151" s="326">
        <v>7986470.8</v>
      </c>
    </row>
    <row r="152" spans="1:2" ht="12.75">
      <c r="A152" t="s">
        <v>1295</v>
      </c>
      <c r="B152" s="326">
        <v>6298013.73</v>
      </c>
    </row>
    <row r="153" spans="1:2" ht="12.75">
      <c r="A153" t="s">
        <v>1296</v>
      </c>
      <c r="B153" s="326">
        <v>111535.54</v>
      </c>
    </row>
    <row r="154" spans="1:2" ht="12.75">
      <c r="A154" t="s">
        <v>1297</v>
      </c>
      <c r="B154" s="326">
        <v>1576921.53</v>
      </c>
    </row>
    <row r="155" ht="12.75">
      <c r="A155" t="s">
        <v>1298</v>
      </c>
    </row>
    <row r="156" spans="1:2" ht="12.75">
      <c r="A156" t="s">
        <v>1299</v>
      </c>
      <c r="B156" s="326">
        <v>7836613.46</v>
      </c>
    </row>
    <row r="157" spans="1:2" ht="12.75">
      <c r="A157" t="s">
        <v>397</v>
      </c>
      <c r="B157" s="326">
        <v>1551796.42</v>
      </c>
    </row>
    <row r="158" spans="1:2" ht="12.75">
      <c r="A158" t="s">
        <v>398</v>
      </c>
      <c r="B158" s="326">
        <v>343241.16</v>
      </c>
    </row>
    <row r="159" spans="1:2" ht="12.75">
      <c r="A159" t="s">
        <v>399</v>
      </c>
      <c r="B159" s="326">
        <v>1087051.64</v>
      </c>
    </row>
    <row r="160" spans="1:2" ht="12.75">
      <c r="A160" t="s">
        <v>400</v>
      </c>
      <c r="B160" s="326">
        <v>93300</v>
      </c>
    </row>
    <row r="161" spans="1:2" ht="12.75">
      <c r="A161" t="s">
        <v>401</v>
      </c>
      <c r="B161" s="326">
        <v>3162730.39</v>
      </c>
    </row>
    <row r="162" spans="1:2" ht="12.75">
      <c r="A162" t="s">
        <v>402</v>
      </c>
      <c r="B162" s="326">
        <v>1097696.93</v>
      </c>
    </row>
    <row r="163" spans="1:2" ht="12.75">
      <c r="A163" t="s">
        <v>403</v>
      </c>
      <c r="B163" s="326">
        <v>284174</v>
      </c>
    </row>
    <row r="164" spans="1:2" ht="12.75">
      <c r="A164" t="s">
        <v>404</v>
      </c>
      <c r="B164" s="326">
        <v>216622.92</v>
      </c>
    </row>
    <row r="165" spans="1:2" ht="12.75">
      <c r="A165" t="s">
        <v>405</v>
      </c>
      <c r="B165" s="326">
        <v>149857.34</v>
      </c>
    </row>
    <row r="166" spans="1:2" ht="12.75">
      <c r="A166" t="s">
        <v>406</v>
      </c>
      <c r="B166" s="326">
        <v>27269.05</v>
      </c>
    </row>
    <row r="167" ht="12.75">
      <c r="A167" t="s">
        <v>407</v>
      </c>
    </row>
    <row r="168" ht="12.75">
      <c r="A168" t="s">
        <v>408</v>
      </c>
    </row>
    <row r="169" spans="1:2" ht="12.75">
      <c r="A169" t="s">
        <v>409</v>
      </c>
      <c r="B169" s="326">
        <v>27269.05</v>
      </c>
    </row>
    <row r="170" spans="1:2" ht="12.75">
      <c r="A170" t="s">
        <v>410</v>
      </c>
      <c r="B170" s="326">
        <v>3363.7</v>
      </c>
    </row>
    <row r="171" ht="12.75">
      <c r="A171" t="s">
        <v>411</v>
      </c>
    </row>
    <row r="172" spans="1:2" ht="12.75">
      <c r="A172" t="s">
        <v>412</v>
      </c>
      <c r="B172" s="326">
        <v>3363.7</v>
      </c>
    </row>
    <row r="173" spans="1:2" ht="12.75">
      <c r="A173" t="s">
        <v>413</v>
      </c>
      <c r="B173" s="326">
        <v>173762.69</v>
      </c>
    </row>
    <row r="174" spans="1:2" ht="12.75">
      <c r="A174" t="s">
        <v>414</v>
      </c>
      <c r="B174" s="326">
        <v>26951.61</v>
      </c>
    </row>
    <row r="175" ht="12.75">
      <c r="A175" t="s">
        <v>415</v>
      </c>
    </row>
    <row r="176" spans="1:2" ht="12.75">
      <c r="A176" t="s">
        <v>416</v>
      </c>
      <c r="B176" s="326">
        <v>26951.61</v>
      </c>
    </row>
    <row r="177" ht="12.75">
      <c r="A177" t="s">
        <v>62</v>
      </c>
    </row>
    <row r="178" spans="1:2" ht="12.75">
      <c r="A178" t="s">
        <v>417</v>
      </c>
      <c r="B178" s="326">
        <v>157512.81</v>
      </c>
    </row>
    <row r="179" ht="12.75">
      <c r="A179" t="s">
        <v>418</v>
      </c>
    </row>
    <row r="180" spans="1:2" ht="12.75">
      <c r="A180" t="s">
        <v>419</v>
      </c>
      <c r="B180" s="326">
        <v>155752.81</v>
      </c>
    </row>
    <row r="181" spans="1:2" ht="12.75">
      <c r="A181" t="s">
        <v>62</v>
      </c>
      <c r="B181" s="326">
        <v>1760</v>
      </c>
    </row>
    <row r="182" spans="1:2" ht="12.75">
      <c r="A182" t="s">
        <v>420</v>
      </c>
      <c r="B182" s="326">
        <v>43201.49</v>
      </c>
    </row>
    <row r="183" spans="1:2" ht="12.75">
      <c r="A183" t="s">
        <v>421</v>
      </c>
      <c r="B183" s="326">
        <v>8368.1</v>
      </c>
    </row>
    <row r="184" spans="1:2" ht="12.75">
      <c r="A184" t="s">
        <v>999</v>
      </c>
      <c r="B184" s="326">
        <v>12371.44</v>
      </c>
    </row>
    <row r="185" spans="1:2" ht="12.75">
      <c r="A185" t="s">
        <v>422</v>
      </c>
      <c r="B185" s="326">
        <v>39198.15</v>
      </c>
    </row>
    <row r="186" spans="1:2" ht="12.75">
      <c r="A186" t="s">
        <v>423</v>
      </c>
      <c r="B186" s="326">
        <v>19935</v>
      </c>
    </row>
    <row r="187" spans="1:2" ht="12.75">
      <c r="A187" t="s">
        <v>424</v>
      </c>
      <c r="B187" s="326">
        <v>19935</v>
      </c>
    </row>
    <row r="188" ht="12.75">
      <c r="A188" t="s">
        <v>425</v>
      </c>
    </row>
    <row r="189" spans="1:2" ht="12.75">
      <c r="A189" t="s">
        <v>426</v>
      </c>
      <c r="B189" s="326">
        <v>19263.15</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E9" sqref="E9"/>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505"/>
  <sheetViews>
    <sheetView tabSelected="1" workbookViewId="0" topLeftCell="A1">
      <selection activeCell="B3" sqref="B3"/>
    </sheetView>
  </sheetViews>
  <sheetFormatPr defaultColWidth="9.140625" defaultRowHeight="12.75"/>
  <cols>
    <col min="1" max="1" width="46.00390625" style="0" customWidth="1"/>
    <col min="2" max="2" width="25.140625" style="0" customWidth="1"/>
  </cols>
  <sheetData>
    <row r="2" ht="12.75">
      <c r="A2" s="28" t="s">
        <v>1527</v>
      </c>
    </row>
    <row r="3" ht="13.5" thickBot="1">
      <c r="B3" s="28" t="s">
        <v>505</v>
      </c>
    </row>
    <row r="4" spans="1:2" ht="39.75" thickBot="1" thickTop="1">
      <c r="A4" s="357" t="s">
        <v>1579</v>
      </c>
      <c r="B4" s="357" t="s">
        <v>1410</v>
      </c>
    </row>
    <row r="5" spans="1:2" ht="14.25" thickBot="1" thickTop="1">
      <c r="A5" s="358">
        <v>4</v>
      </c>
      <c r="B5" s="359">
        <v>6</v>
      </c>
    </row>
    <row r="6" spans="1:2" ht="16.5" thickTop="1">
      <c r="A6" s="360" t="s">
        <v>1411</v>
      </c>
      <c r="B6" s="361"/>
    </row>
    <row r="7" spans="1:2" ht="12.75">
      <c r="A7" s="239" t="s">
        <v>1412</v>
      </c>
      <c r="B7" s="362">
        <f>B8+B14+B22+B27</f>
        <v>1366613.11</v>
      </c>
    </row>
    <row r="8" spans="1:2" ht="12.75">
      <c r="A8" s="363" t="s">
        <v>1194</v>
      </c>
      <c r="B8" s="364">
        <f>SUM(B9:B13)</f>
        <v>31466.01</v>
      </c>
    </row>
    <row r="9" spans="1:2" ht="25.5">
      <c r="A9" s="365" t="s">
        <v>1056</v>
      </c>
      <c r="B9" s="366">
        <f>42076.8-876.6-876.6-876.6-876.6-876.6-876.6-876.6-876.6-876.6-876.6-876.6-876.6-876.6-876.6-876.6</f>
        <v>28927.800000000025</v>
      </c>
    </row>
    <row r="10" spans="1:2" ht="12.75">
      <c r="A10" s="365" t="s">
        <v>1199</v>
      </c>
      <c r="B10" s="366">
        <v>0</v>
      </c>
    </row>
    <row r="11" spans="1:2" ht="12.75">
      <c r="A11" s="365" t="s">
        <v>1202</v>
      </c>
      <c r="B11" s="366">
        <v>0</v>
      </c>
    </row>
    <row r="12" spans="1:2" ht="12.75">
      <c r="A12" s="365" t="s">
        <v>1204</v>
      </c>
      <c r="B12" s="364">
        <f>31466.01-B9</f>
        <v>2538.2099999999737</v>
      </c>
    </row>
    <row r="13" spans="1:2" ht="25.5">
      <c r="A13" s="365" t="s">
        <v>1065</v>
      </c>
      <c r="B13" s="364">
        <v>0</v>
      </c>
    </row>
    <row r="14" spans="1:2" ht="12.75">
      <c r="A14" s="363" t="s">
        <v>1068</v>
      </c>
      <c r="B14" s="364">
        <f>SUM(B15:B21)</f>
        <v>1335147.1</v>
      </c>
    </row>
    <row r="15" spans="1:2" ht="12.75">
      <c r="A15" s="365" t="s">
        <v>1210</v>
      </c>
      <c r="B15" s="366">
        <v>0</v>
      </c>
    </row>
    <row r="16" spans="1:2" ht="12.75">
      <c r="A16" s="365" t="s">
        <v>1212</v>
      </c>
      <c r="B16" s="366">
        <v>0</v>
      </c>
    </row>
    <row r="17" spans="1:2" ht="12.75">
      <c r="A17" s="365" t="s">
        <v>1215</v>
      </c>
      <c r="B17" s="366">
        <v>313629.34</v>
      </c>
    </row>
    <row r="18" spans="1:2" ht="12.75">
      <c r="A18" s="365" t="s">
        <v>221</v>
      </c>
      <c r="B18" s="366">
        <v>261956.26</v>
      </c>
    </row>
    <row r="19" spans="1:2" ht="12.75">
      <c r="A19" s="365" t="s">
        <v>1221</v>
      </c>
      <c r="B19" s="366">
        <f>460098.42+299463.08</f>
        <v>759561.5</v>
      </c>
    </row>
    <row r="20" spans="1:2" ht="12.75">
      <c r="A20" s="365" t="s">
        <v>1223</v>
      </c>
      <c r="B20" s="366">
        <v>0</v>
      </c>
    </row>
    <row r="21" spans="1:2" ht="12.75">
      <c r="A21" s="365" t="s">
        <v>1225</v>
      </c>
      <c r="B21" s="366">
        <v>0</v>
      </c>
    </row>
    <row r="22" spans="1:2" ht="12.75">
      <c r="A22" s="363" t="s">
        <v>509</v>
      </c>
      <c r="B22" s="364">
        <f>SUM(B23:B26)</f>
        <v>0</v>
      </c>
    </row>
    <row r="23" spans="1:2" ht="25.5">
      <c r="A23" s="365" t="s">
        <v>1413</v>
      </c>
      <c r="B23" s="366">
        <v>0</v>
      </c>
    </row>
    <row r="24" spans="1:2" ht="12.75">
      <c r="A24" s="365" t="s">
        <v>1414</v>
      </c>
      <c r="B24" s="366">
        <v>0</v>
      </c>
    </row>
    <row r="25" spans="1:2" ht="25.5">
      <c r="A25" s="365" t="s">
        <v>1415</v>
      </c>
      <c r="B25" s="366">
        <v>0</v>
      </c>
    </row>
    <row r="26" spans="1:2" ht="12.75">
      <c r="A26" s="365" t="s">
        <v>1416</v>
      </c>
      <c r="B26" s="366">
        <v>0</v>
      </c>
    </row>
    <row r="27" spans="1:2" ht="12.75">
      <c r="A27" s="363" t="s">
        <v>520</v>
      </c>
      <c r="B27" s="364">
        <v>0</v>
      </c>
    </row>
    <row r="28" spans="1:2" ht="12.75">
      <c r="A28" s="239" t="s">
        <v>1417</v>
      </c>
      <c r="B28" s="362">
        <f>B29+B35+B43+B48</f>
        <v>72762722.23</v>
      </c>
    </row>
    <row r="29" spans="1:2" ht="12.75">
      <c r="A29" s="363" t="s">
        <v>524</v>
      </c>
      <c r="B29" s="364">
        <v>0</v>
      </c>
    </row>
    <row r="30" spans="1:2" ht="12.75">
      <c r="A30" s="365" t="s">
        <v>526</v>
      </c>
      <c r="B30" s="366"/>
    </row>
    <row r="31" spans="1:2" ht="12.75">
      <c r="A31" s="365" t="s">
        <v>528</v>
      </c>
      <c r="B31" s="366"/>
    </row>
    <row r="32" spans="1:2" ht="12.75">
      <c r="A32" s="365" t="s">
        <v>530</v>
      </c>
      <c r="B32" s="366"/>
    </row>
    <row r="33" spans="1:2" ht="12.75">
      <c r="A33" s="365" t="s">
        <v>533</v>
      </c>
      <c r="B33" s="366"/>
    </row>
    <row r="34" spans="1:2" ht="12.75">
      <c r="A34" s="365" t="s">
        <v>535</v>
      </c>
      <c r="B34" s="366"/>
    </row>
    <row r="35" spans="1:2" ht="12.75">
      <c r="A35" s="363" t="s">
        <v>537</v>
      </c>
      <c r="B35" s="364">
        <f>SUM(B36:B42)</f>
        <v>301108.17</v>
      </c>
    </row>
    <row r="36" spans="1:2" ht="25.5">
      <c r="A36" s="367" t="s">
        <v>1418</v>
      </c>
      <c r="B36" s="368">
        <v>0</v>
      </c>
    </row>
    <row r="37" spans="1:2" ht="25.5">
      <c r="A37" s="367" t="s">
        <v>1419</v>
      </c>
      <c r="B37" s="368">
        <f>76879.28+97354.95</f>
        <v>174234.22999999998</v>
      </c>
    </row>
    <row r="38" spans="1:2" ht="25.5">
      <c r="A38" s="365" t="s">
        <v>1420</v>
      </c>
      <c r="B38" s="366">
        <v>0</v>
      </c>
    </row>
    <row r="39" spans="1:2" ht="25.5">
      <c r="A39" s="365" t="s">
        <v>1421</v>
      </c>
      <c r="B39" s="366">
        <v>0</v>
      </c>
    </row>
    <row r="40" spans="1:2" ht="25.5">
      <c r="A40" s="365" t="s">
        <v>1024</v>
      </c>
      <c r="B40" s="366">
        <f>365993.16-69163.53-120611.76-60142.65-110062.83</f>
        <v>6012.389999999999</v>
      </c>
    </row>
    <row r="41" spans="1:2" ht="12.75">
      <c r="A41" s="365" t="s">
        <v>545</v>
      </c>
      <c r="B41" s="366">
        <f>579446.37-417538.09-97354.95+53352+1221.46+1734.76</f>
        <v>120861.54999999997</v>
      </c>
    </row>
    <row r="42" spans="1:2" ht="12.75">
      <c r="A42" s="365" t="s">
        <v>1422</v>
      </c>
      <c r="B42" s="366">
        <v>0</v>
      </c>
    </row>
    <row r="43" spans="1:2" ht="12.75">
      <c r="A43" s="363" t="s">
        <v>224</v>
      </c>
      <c r="B43" s="364">
        <f>SUM(B44:B47)</f>
        <v>69896750.98</v>
      </c>
    </row>
    <row r="44" spans="1:2" ht="25.5">
      <c r="A44" s="365" t="s">
        <v>1413</v>
      </c>
      <c r="B44" s="366">
        <v>0</v>
      </c>
    </row>
    <row r="45" spans="1:2" ht="12.75">
      <c r="A45" s="365" t="s">
        <v>1414</v>
      </c>
      <c r="B45" s="366">
        <v>0</v>
      </c>
    </row>
    <row r="46" spans="1:2" ht="25.5">
      <c r="A46" s="365" t="s">
        <v>1415</v>
      </c>
      <c r="B46" s="366">
        <f>65901266.08+3995484.9</f>
        <v>69896750.98</v>
      </c>
    </row>
    <row r="47" spans="1:2" ht="25.5">
      <c r="A47" s="365" t="s">
        <v>1423</v>
      </c>
      <c r="B47" s="366">
        <v>0</v>
      </c>
    </row>
    <row r="48" spans="1:2" ht="12.75">
      <c r="A48" s="363" t="s">
        <v>50</v>
      </c>
      <c r="B48" s="364">
        <f>SUM(B49:B51)</f>
        <v>2564863.0799999996</v>
      </c>
    </row>
    <row r="49" spans="1:2" ht="12.75">
      <c r="A49" s="365" t="s">
        <v>52</v>
      </c>
      <c r="B49" s="366">
        <v>2973.32</v>
      </c>
    </row>
    <row r="50" spans="1:2" ht="12.75">
      <c r="A50" s="365" t="s">
        <v>226</v>
      </c>
      <c r="B50" s="366">
        <f>177796.05+2365000+124450-105356.29</f>
        <v>2561889.76</v>
      </c>
    </row>
    <row r="51" spans="1:2" ht="12.75">
      <c r="A51" s="365" t="s">
        <v>1424</v>
      </c>
      <c r="B51" s="366">
        <v>0</v>
      </c>
    </row>
    <row r="52" spans="1:2" ht="12.75">
      <c r="A52" s="239" t="s">
        <v>1425</v>
      </c>
      <c r="B52" s="362">
        <f>SUM(B53:B54)</f>
        <v>43107.24</v>
      </c>
    </row>
    <row r="53" spans="1:2" ht="12.75">
      <c r="A53" s="365" t="s">
        <v>563</v>
      </c>
      <c r="B53" s="366">
        <v>43107.24</v>
      </c>
    </row>
    <row r="54" spans="1:2" ht="12.75">
      <c r="A54" s="365" t="s">
        <v>565</v>
      </c>
      <c r="B54" s="366">
        <v>0</v>
      </c>
    </row>
    <row r="55" spans="1:2" ht="12.75">
      <c r="A55" s="239" t="s">
        <v>341</v>
      </c>
      <c r="B55" s="364">
        <f>B7+B28+B52</f>
        <v>74172442.58</v>
      </c>
    </row>
    <row r="56" spans="1:2" ht="12.75">
      <c r="A56" s="257"/>
      <c r="B56" s="369"/>
    </row>
    <row r="57" spans="1:2" ht="15.75">
      <c r="A57" s="370" t="s">
        <v>430</v>
      </c>
      <c r="B57" s="364"/>
    </row>
    <row r="58" spans="1:2" ht="12.75">
      <c r="A58" s="239" t="s">
        <v>1059</v>
      </c>
      <c r="B58" s="362">
        <f>B59+B60+B66+B67+B68+B71</f>
        <v>72586019.11999999</v>
      </c>
    </row>
    <row r="59" spans="1:2" ht="12.75">
      <c r="A59" s="363" t="s">
        <v>232</v>
      </c>
      <c r="B59" s="364">
        <v>55544000</v>
      </c>
    </row>
    <row r="60" spans="1:2" ht="12.75">
      <c r="A60" s="363" t="s">
        <v>233</v>
      </c>
      <c r="B60" s="364">
        <f>SUM(B61:B65)</f>
        <v>166632000</v>
      </c>
    </row>
    <row r="61" spans="1:2" ht="25.5">
      <c r="A61" s="365" t="s">
        <v>1203</v>
      </c>
      <c r="B61" s="366">
        <v>166632000</v>
      </c>
    </row>
    <row r="62" spans="1:2" ht="12.75">
      <c r="A62" s="365" t="s">
        <v>1205</v>
      </c>
      <c r="B62" s="366">
        <v>0</v>
      </c>
    </row>
    <row r="63" spans="1:2" ht="12.75">
      <c r="A63" s="365" t="s">
        <v>1207</v>
      </c>
      <c r="B63" s="366">
        <v>0</v>
      </c>
    </row>
    <row r="64" spans="1:2" ht="12.75">
      <c r="A64" s="365" t="s">
        <v>1209</v>
      </c>
      <c r="B64" s="366">
        <v>0</v>
      </c>
    </row>
    <row r="65" spans="1:2" ht="12.75">
      <c r="A65" s="365" t="s">
        <v>1211</v>
      </c>
      <c r="B65" s="366">
        <v>0</v>
      </c>
    </row>
    <row r="66" spans="1:2" ht="12.75">
      <c r="A66" s="363" t="s">
        <v>1077</v>
      </c>
      <c r="B66" s="364">
        <v>0</v>
      </c>
    </row>
    <row r="67" spans="1:2" ht="12.75">
      <c r="A67" s="363" t="s">
        <v>1426</v>
      </c>
      <c r="B67" s="364">
        <v>0</v>
      </c>
    </row>
    <row r="68" spans="1:2" ht="12.75">
      <c r="A68" s="363" t="s">
        <v>1427</v>
      </c>
      <c r="B68" s="364">
        <f>SUM(B69:B70)</f>
        <v>-151847006.24</v>
      </c>
    </row>
    <row r="69" spans="1:2" ht="12.75">
      <c r="A69" s="365" t="s">
        <v>1428</v>
      </c>
      <c r="B69" s="366">
        <v>0</v>
      </c>
    </row>
    <row r="70" spans="1:2" ht="12.75">
      <c r="A70" s="365" t="s">
        <v>1429</v>
      </c>
      <c r="B70" s="366">
        <v>-151847006.24</v>
      </c>
    </row>
    <row r="71" spans="1:2" ht="12.75">
      <c r="A71" s="363" t="s">
        <v>235</v>
      </c>
      <c r="B71" s="364">
        <f>SUM(B72:B74)</f>
        <v>2257025.36</v>
      </c>
    </row>
    <row r="72" spans="1:2" ht="12.75">
      <c r="A72" s="365" t="s">
        <v>1430</v>
      </c>
      <c r="B72" s="366">
        <v>2257025.36</v>
      </c>
    </row>
    <row r="73" spans="1:2" ht="12.75">
      <c r="A73" s="365" t="s">
        <v>1431</v>
      </c>
      <c r="B73" s="366">
        <v>0</v>
      </c>
    </row>
    <row r="74" spans="1:2" ht="25.5">
      <c r="A74" s="365" t="s">
        <v>1432</v>
      </c>
      <c r="B74" s="366">
        <v>0</v>
      </c>
    </row>
    <row r="75" spans="1:2" ht="12.75">
      <c r="A75" s="239" t="s">
        <v>86</v>
      </c>
      <c r="B75" s="362">
        <f>SUM(B76:B77)</f>
        <v>751831.14</v>
      </c>
    </row>
    <row r="76" spans="1:2" ht="25.5">
      <c r="A76" s="365" t="s">
        <v>1433</v>
      </c>
      <c r="B76" s="366">
        <v>0</v>
      </c>
    </row>
    <row r="77" spans="1:2" ht="12.75">
      <c r="A77" s="365" t="s">
        <v>521</v>
      </c>
      <c r="B77" s="366">
        <v>751831.14</v>
      </c>
    </row>
    <row r="78" spans="1:2" ht="12.75">
      <c r="A78" s="239" t="s">
        <v>1035</v>
      </c>
      <c r="B78" s="362">
        <f>SUM(B79:B83)</f>
        <v>0</v>
      </c>
    </row>
    <row r="79" spans="1:2" ht="12.75">
      <c r="A79" s="365" t="s">
        <v>1434</v>
      </c>
      <c r="B79" s="366">
        <v>0</v>
      </c>
    </row>
    <row r="80" spans="1:2" ht="12.75">
      <c r="A80" s="365" t="s">
        <v>1435</v>
      </c>
      <c r="B80" s="366">
        <v>0</v>
      </c>
    </row>
    <row r="81" spans="1:2" ht="12.75">
      <c r="A81" s="365" t="s">
        <v>1436</v>
      </c>
      <c r="B81" s="366">
        <v>0</v>
      </c>
    </row>
    <row r="82" spans="1:2" ht="12.75">
      <c r="A82" s="365" t="s">
        <v>1437</v>
      </c>
      <c r="B82" s="366">
        <v>0</v>
      </c>
    </row>
    <row r="83" spans="1:2" ht="12.75">
      <c r="A83" s="365" t="s">
        <v>529</v>
      </c>
      <c r="B83" s="366">
        <v>0</v>
      </c>
    </row>
    <row r="84" spans="1:2" ht="25.5">
      <c r="A84" s="239" t="s">
        <v>1438</v>
      </c>
      <c r="B84" s="362">
        <f>B85+B98</f>
        <v>730729.2499999999</v>
      </c>
    </row>
    <row r="85" spans="1:2" ht="12.75">
      <c r="A85" s="363" t="s">
        <v>239</v>
      </c>
      <c r="B85" s="364">
        <f>SUM(B86:B97)</f>
        <v>614579.2499999999</v>
      </c>
    </row>
    <row r="86" spans="1:2" ht="25.5">
      <c r="A86" s="365" t="s">
        <v>1439</v>
      </c>
      <c r="B86" s="366">
        <v>13666.27</v>
      </c>
    </row>
    <row r="87" spans="1:2" ht="25.5">
      <c r="A87" s="365" t="s">
        <v>1440</v>
      </c>
      <c r="B87" s="366">
        <v>0</v>
      </c>
    </row>
    <row r="88" spans="1:2" ht="25.5">
      <c r="A88" s="365" t="s">
        <v>1441</v>
      </c>
      <c r="B88" s="366">
        <v>0</v>
      </c>
    </row>
    <row r="89" spans="1:2" ht="25.5">
      <c r="A89" s="365" t="s">
        <v>1442</v>
      </c>
      <c r="B89" s="366">
        <v>0</v>
      </c>
    </row>
    <row r="90" spans="1:2" ht="12.75">
      <c r="A90" s="365" t="s">
        <v>1443</v>
      </c>
      <c r="B90" s="366">
        <v>0</v>
      </c>
    </row>
    <row r="91" spans="1:2" ht="12.75">
      <c r="A91" s="365" t="s">
        <v>1444</v>
      </c>
      <c r="B91" s="366">
        <v>0</v>
      </c>
    </row>
    <row r="92" spans="1:2" ht="12.75">
      <c r="A92" s="365" t="s">
        <v>1445</v>
      </c>
      <c r="B92" s="366">
        <v>0</v>
      </c>
    </row>
    <row r="93" spans="1:2" ht="12.75">
      <c r="A93" s="365" t="s">
        <v>553</v>
      </c>
      <c r="B93" s="366">
        <v>0</v>
      </c>
    </row>
    <row r="94" spans="1:2" ht="12.75">
      <c r="A94" s="365" t="s">
        <v>546</v>
      </c>
      <c r="B94" s="366">
        <v>0</v>
      </c>
    </row>
    <row r="95" spans="1:2" ht="25.5">
      <c r="A95" s="365" t="s">
        <v>1446</v>
      </c>
      <c r="B95" s="366">
        <f>153973.33+B40</f>
        <v>159985.71999999997</v>
      </c>
    </row>
    <row r="96" spans="1:2" ht="12.75">
      <c r="A96" s="365" t="s">
        <v>550</v>
      </c>
      <c r="B96" s="366">
        <f>129403.24-105321.29</f>
        <v>24081.95000000001</v>
      </c>
    </row>
    <row r="97" spans="1:2" ht="12.75">
      <c r="A97" s="365" t="s">
        <v>1034</v>
      </c>
      <c r="B97" s="366">
        <f>(-3762784.68+4049998.64)+66418.34-B86+B37-97354.95</f>
        <v>416845.3099999999</v>
      </c>
    </row>
    <row r="98" spans="1:2" ht="12.75">
      <c r="A98" s="363" t="s">
        <v>1032</v>
      </c>
      <c r="B98" s="364">
        <v>116150</v>
      </c>
    </row>
    <row r="99" spans="1:2" ht="25.5">
      <c r="A99" s="239" t="s">
        <v>1447</v>
      </c>
      <c r="B99" s="362">
        <f>SUM(B100:B101)</f>
        <v>103863.07</v>
      </c>
    </row>
    <row r="100" spans="1:2" ht="12.75">
      <c r="A100" s="365" t="s">
        <v>564</v>
      </c>
      <c r="B100" s="366">
        <v>103863.07</v>
      </c>
    </row>
    <row r="101" spans="1:2" ht="12.75">
      <c r="A101" s="365" t="s">
        <v>566</v>
      </c>
      <c r="B101" s="366">
        <v>0</v>
      </c>
    </row>
    <row r="102" spans="1:2" ht="12.75">
      <c r="A102" s="239" t="s">
        <v>385</v>
      </c>
      <c r="B102" s="364">
        <f>B58+B75+B78+B84+B99</f>
        <v>74172442.57999998</v>
      </c>
    </row>
    <row r="104" ht="13.5" thickBot="1">
      <c r="A104" s="28" t="s">
        <v>1336</v>
      </c>
    </row>
    <row r="105" spans="1:2" ht="39.75" thickBot="1" thickTop="1">
      <c r="A105" s="357" t="s">
        <v>1579</v>
      </c>
      <c r="B105" s="357" t="s">
        <v>1410</v>
      </c>
    </row>
    <row r="106" spans="1:2" ht="14.25" thickBot="1" thickTop="1">
      <c r="A106" s="358">
        <v>3</v>
      </c>
      <c r="B106" s="359">
        <v>5</v>
      </c>
    </row>
    <row r="107" spans="1:2" ht="13.5" thickTop="1">
      <c r="A107" s="371" t="s">
        <v>574</v>
      </c>
      <c r="B107" s="372">
        <f>SUM(B108:B114)</f>
        <v>6499227.91</v>
      </c>
    </row>
    <row r="108" spans="1:2" ht="38.25">
      <c r="A108" s="363" t="s">
        <v>1448</v>
      </c>
      <c r="B108" s="364">
        <v>5869428.86</v>
      </c>
    </row>
    <row r="109" spans="1:2" ht="38.25">
      <c r="A109" s="363" t="s">
        <v>1449</v>
      </c>
      <c r="B109" s="364">
        <v>113367.1</v>
      </c>
    </row>
    <row r="110" spans="1:2" ht="38.25">
      <c r="A110" s="363" t="s">
        <v>1450</v>
      </c>
      <c r="B110" s="364">
        <v>0</v>
      </c>
    </row>
    <row r="111" spans="1:2" ht="12.75">
      <c r="A111" s="363" t="s">
        <v>1451</v>
      </c>
      <c r="B111" s="364">
        <v>516431.95</v>
      </c>
    </row>
    <row r="112" spans="1:2" ht="12.75">
      <c r="A112" s="363" t="s">
        <v>1452</v>
      </c>
      <c r="B112" s="364">
        <v>0</v>
      </c>
    </row>
    <row r="113" spans="1:2" ht="12.75">
      <c r="A113" s="363" t="s">
        <v>1453</v>
      </c>
      <c r="B113" s="364">
        <v>0</v>
      </c>
    </row>
    <row r="114" spans="1:2" ht="12.75">
      <c r="A114" s="363" t="s">
        <v>1454</v>
      </c>
      <c r="B114" s="364">
        <v>0</v>
      </c>
    </row>
    <row r="115" spans="1:2" ht="12.75">
      <c r="A115" s="239" t="s">
        <v>1455</v>
      </c>
      <c r="B115" s="362">
        <f>SUM(B116:B127)</f>
        <v>9964015.89</v>
      </c>
    </row>
    <row r="116" spans="1:2" ht="12.75">
      <c r="A116" s="373" t="s">
        <v>1456</v>
      </c>
      <c r="B116" s="374">
        <f>492518.4-12179.47</f>
        <v>480338.93000000005</v>
      </c>
    </row>
    <row r="117" spans="1:2" ht="38.25">
      <c r="A117" s="373" t="s">
        <v>1457</v>
      </c>
      <c r="B117" s="374">
        <f>1018727.38-18731.82</f>
        <v>999995.56</v>
      </c>
    </row>
    <row r="118" spans="1:2" ht="12.75">
      <c r="A118" s="373" t="s">
        <v>1458</v>
      </c>
      <c r="B118" s="374">
        <f>244410.39-42439.92+109329.46-19715.15</f>
        <v>291584.78</v>
      </c>
    </row>
    <row r="119" spans="1:2" ht="12.75">
      <c r="A119" s="363" t="s">
        <v>1459</v>
      </c>
      <c r="B119" s="364">
        <v>6652.99</v>
      </c>
    </row>
    <row r="120" spans="1:2" ht="12.75">
      <c r="A120" s="363" t="s">
        <v>1460</v>
      </c>
      <c r="B120" s="364">
        <v>882896.42</v>
      </c>
    </row>
    <row r="121" spans="1:2" ht="12.75">
      <c r="A121" s="363" t="s">
        <v>1461</v>
      </c>
      <c r="B121" s="364">
        <v>46971.19</v>
      </c>
    </row>
    <row r="122" spans="1:2" ht="12.75">
      <c r="A122" s="363" t="s">
        <v>1462</v>
      </c>
      <c r="B122" s="364">
        <v>0</v>
      </c>
    </row>
    <row r="123" spans="1:2" ht="38.25">
      <c r="A123" s="363" t="s">
        <v>1463</v>
      </c>
      <c r="B123" s="364">
        <v>0</v>
      </c>
    </row>
    <row r="124" spans="1:2" ht="25.5">
      <c r="A124" s="363" t="s">
        <v>1464</v>
      </c>
      <c r="B124" s="364">
        <f>64.8+118+1202+235.2+709+459+785</f>
        <v>3573</v>
      </c>
    </row>
    <row r="125" spans="1:2" ht="12.75">
      <c r="A125" s="363" t="s">
        <v>105</v>
      </c>
      <c r="B125" s="227">
        <v>387772.36</v>
      </c>
    </row>
    <row r="126" spans="1:2" ht="12.75">
      <c r="A126" s="363" t="s">
        <v>582</v>
      </c>
      <c r="B126" s="227">
        <v>288692.67</v>
      </c>
    </row>
    <row r="127" spans="1:2" ht="12.75">
      <c r="A127" s="363" t="s">
        <v>1465</v>
      </c>
      <c r="B127" s="364">
        <f>6575502.99+35</f>
        <v>6575537.99</v>
      </c>
    </row>
    <row r="128" spans="1:2" ht="12.75">
      <c r="A128" s="239" t="s">
        <v>1466</v>
      </c>
      <c r="B128" s="362">
        <f>B107-B115</f>
        <v>-3464787.9800000004</v>
      </c>
    </row>
    <row r="129" spans="1:2" ht="12.75">
      <c r="A129" s="239" t="s">
        <v>1467</v>
      </c>
      <c r="B129" s="362">
        <f>SUM(B130:B131)</f>
        <v>189933.9</v>
      </c>
    </row>
    <row r="130" spans="1:2" ht="25.5">
      <c r="A130" s="363" t="s">
        <v>1468</v>
      </c>
      <c r="B130" s="364">
        <f>9497.74+151805</f>
        <v>161302.74</v>
      </c>
    </row>
    <row r="131" spans="1:2" ht="12.75">
      <c r="A131" s="363" t="s">
        <v>1469</v>
      </c>
      <c r="B131" s="364">
        <f>1828.89+7351.64+171255.63-151805</f>
        <v>28631.160000000003</v>
      </c>
    </row>
    <row r="132" spans="1:2" ht="12.75">
      <c r="A132" s="239" t="s">
        <v>1470</v>
      </c>
      <c r="B132" s="362">
        <f>SUM(B133:B134)</f>
        <v>305736.87</v>
      </c>
    </row>
    <row r="133" spans="1:2" ht="12.75">
      <c r="A133" s="363" t="s">
        <v>1471</v>
      </c>
      <c r="B133" s="364">
        <v>82896.8</v>
      </c>
    </row>
    <row r="134" spans="1:2" ht="12.75">
      <c r="A134" s="363" t="s">
        <v>1472</v>
      </c>
      <c r="B134" s="364">
        <f>1000+49508+39804.78+129274.61+3252.68</f>
        <v>222840.07</v>
      </c>
    </row>
    <row r="135" spans="1:2" ht="12.75">
      <c r="A135" s="239" t="s">
        <v>1473</v>
      </c>
      <c r="B135" s="362">
        <f>B128+B129-B132</f>
        <v>-3580590.9500000007</v>
      </c>
    </row>
    <row r="136" spans="1:2" ht="12.75">
      <c r="A136" s="239" t="s">
        <v>1675</v>
      </c>
      <c r="B136" s="362">
        <f>SUM(B137:B139)</f>
        <v>5838641.57</v>
      </c>
    </row>
    <row r="137" spans="1:2" ht="25.5">
      <c r="A137" s="363" t="s">
        <v>1474</v>
      </c>
      <c r="B137" s="364">
        <v>0</v>
      </c>
    </row>
    <row r="138" spans="1:2" ht="12.75">
      <c r="A138" s="363" t="s">
        <v>598</v>
      </c>
      <c r="B138" s="364">
        <f>895716.35+41704.39</f>
        <v>937420.74</v>
      </c>
    </row>
    <row r="139" spans="1:2" ht="12.75">
      <c r="A139" s="363" t="s">
        <v>1475</v>
      </c>
      <c r="B139" s="364">
        <f>4789861.08+8260000-8140000-10000+1359.75</f>
        <v>4901220.83</v>
      </c>
    </row>
    <row r="140" spans="1:2" ht="12.75">
      <c r="A140" s="239" t="s">
        <v>594</v>
      </c>
      <c r="B140" s="362">
        <f>SUM(B141:B143)</f>
        <v>1025.26</v>
      </c>
    </row>
    <row r="141" spans="1:2" ht="38.25">
      <c r="A141" s="363" t="s">
        <v>1476</v>
      </c>
      <c r="B141" s="364">
        <v>0</v>
      </c>
    </row>
    <row r="142" spans="1:2" ht="25.5">
      <c r="A142" s="363" t="s">
        <v>1477</v>
      </c>
      <c r="B142" s="364">
        <v>0</v>
      </c>
    </row>
    <row r="143" spans="1:2" ht="12.75">
      <c r="A143" s="363" t="s">
        <v>1478</v>
      </c>
      <c r="B143" s="364">
        <f>1001.07+19.09+5.1</f>
        <v>1025.26</v>
      </c>
    </row>
    <row r="144" spans="1:2" ht="25.5">
      <c r="A144" s="239" t="s">
        <v>1479</v>
      </c>
      <c r="B144" s="362">
        <f>B135+B136-B140</f>
        <v>2257025.36</v>
      </c>
    </row>
    <row r="145" spans="1:2" ht="12.75">
      <c r="A145" s="239" t="s">
        <v>72</v>
      </c>
      <c r="B145" s="362">
        <v>0</v>
      </c>
    </row>
    <row r="146" spans="1:2" ht="12.75">
      <c r="A146" s="239" t="s">
        <v>95</v>
      </c>
      <c r="B146" s="362">
        <v>0</v>
      </c>
    </row>
    <row r="147" spans="1:2" ht="12.75">
      <c r="A147" s="239" t="s">
        <v>1480</v>
      </c>
      <c r="B147" s="362">
        <f>B144+B145-B146</f>
        <v>2257025.36</v>
      </c>
    </row>
    <row r="148" spans="1:2" ht="12.75">
      <c r="A148" s="239" t="s">
        <v>1481</v>
      </c>
      <c r="B148" s="362">
        <f>SUM(B149:B150)</f>
        <v>0</v>
      </c>
    </row>
    <row r="149" spans="1:2" ht="25.5">
      <c r="A149" s="363" t="s">
        <v>1482</v>
      </c>
      <c r="B149" s="364">
        <v>0</v>
      </c>
    </row>
    <row r="150" spans="1:2" ht="12.75">
      <c r="A150" s="363" t="s">
        <v>1483</v>
      </c>
      <c r="B150" s="364">
        <v>0</v>
      </c>
    </row>
    <row r="151" spans="1:2" ht="12.75">
      <c r="A151" s="239" t="s">
        <v>1484</v>
      </c>
      <c r="B151" s="362">
        <f>B147-B148</f>
        <v>2257025.36</v>
      </c>
    </row>
    <row r="153" ht="13.5" thickBot="1">
      <c r="A153" s="28" t="s">
        <v>1528</v>
      </c>
    </row>
    <row r="154" spans="1:2" ht="39.75" thickBot="1" thickTop="1">
      <c r="A154" s="357" t="s">
        <v>1579</v>
      </c>
      <c r="B154" s="357" t="s">
        <v>1410</v>
      </c>
    </row>
    <row r="155" spans="1:2" ht="14.25" thickBot="1" thickTop="1">
      <c r="A155" s="358">
        <v>4</v>
      </c>
      <c r="B155" s="359">
        <v>6</v>
      </c>
    </row>
    <row r="156" spans="1:2" ht="26.25" thickTop="1">
      <c r="A156" s="371" t="s">
        <v>1485</v>
      </c>
      <c r="B156" s="372"/>
    </row>
    <row r="157" spans="1:2" ht="12.75">
      <c r="A157" s="363" t="s">
        <v>1486</v>
      </c>
      <c r="B157" s="364">
        <v>2257025.36</v>
      </c>
    </row>
    <row r="158" spans="1:2" ht="12.75">
      <c r="A158" s="363" t="s">
        <v>1487</v>
      </c>
      <c r="B158" s="364">
        <f>SUM(B159:B172)</f>
        <v>-5209475.47</v>
      </c>
    </row>
    <row r="159" spans="1:2" ht="12.75">
      <c r="A159" s="365" t="s">
        <v>582</v>
      </c>
      <c r="B159" s="364">
        <v>288692.67</v>
      </c>
    </row>
    <row r="160" spans="1:2" ht="12.75">
      <c r="A160" s="365" t="s">
        <v>1488</v>
      </c>
      <c r="B160" s="366">
        <v>0</v>
      </c>
    </row>
    <row r="161" spans="1:2" ht="12.75">
      <c r="A161" s="365" t="s">
        <v>1489</v>
      </c>
      <c r="B161" s="366">
        <v>0</v>
      </c>
    </row>
    <row r="162" spans="1:2" ht="12.75">
      <c r="A162" s="365" t="s">
        <v>1490</v>
      </c>
      <c r="B162" s="366">
        <v>-171255.63</v>
      </c>
    </row>
    <row r="163" spans="1:2" ht="12.75">
      <c r="A163" s="365" t="s">
        <v>1491</v>
      </c>
      <c r="B163" s="366">
        <f>-850000+751831.14</f>
        <v>-98168.85999999999</v>
      </c>
    </row>
    <row r="164" spans="1:2" ht="12.75">
      <c r="A164" s="365" t="s">
        <v>1492</v>
      </c>
      <c r="B164" s="364">
        <v>0</v>
      </c>
    </row>
    <row r="165" spans="1:2" ht="12.75">
      <c r="A165" s="365" t="s">
        <v>1493</v>
      </c>
      <c r="B165" s="364">
        <v>0</v>
      </c>
    </row>
    <row r="166" spans="1:2" ht="25.5">
      <c r="A166" s="365" t="s">
        <v>1494</v>
      </c>
      <c r="B166" s="366">
        <f>-161302.74+39804.78+82896.8</f>
        <v>-38601.15999999999</v>
      </c>
    </row>
    <row r="167" spans="1:2" ht="12.75">
      <c r="A167" s="365" t="s">
        <v>1495</v>
      </c>
      <c r="B167" s="366">
        <v>0</v>
      </c>
    </row>
    <row r="168" spans="1:2" ht="12.75">
      <c r="A168" s="365" t="s">
        <v>1496</v>
      </c>
      <c r="B168" s="366">
        <f>(-D168-C168)</f>
        <v>0</v>
      </c>
    </row>
    <row r="169" spans="1:2" ht="38.25">
      <c r="A169" s="365" t="s">
        <v>1497</v>
      </c>
      <c r="B169" s="366">
        <f>D169-C169</f>
        <v>0</v>
      </c>
    </row>
    <row r="170" spans="1:2" ht="12.75">
      <c r="A170" s="365" t="s">
        <v>1498</v>
      </c>
      <c r="B170" s="366">
        <f>24380.87-43107.24-375418.11+103863.07</f>
        <v>-290281.41</v>
      </c>
    </row>
    <row r="171" spans="1:2" ht="12.75">
      <c r="A171" s="365" t="s">
        <v>1499</v>
      </c>
      <c r="B171" s="366">
        <v>0</v>
      </c>
    </row>
    <row r="172" spans="1:2" ht="12.75">
      <c r="A172" s="365" t="s">
        <v>1500</v>
      </c>
      <c r="B172" s="366">
        <f>-4789861.08-8260000+8140000+10000</f>
        <v>-4899861.08</v>
      </c>
    </row>
    <row r="173" spans="1:2" ht="25.5">
      <c r="A173" s="363" t="s">
        <v>1501</v>
      </c>
      <c r="B173" s="364">
        <f>B157+B158</f>
        <v>-2952450.11</v>
      </c>
    </row>
    <row r="174" spans="1:2" ht="25.5">
      <c r="A174" s="239" t="s">
        <v>1502</v>
      </c>
      <c r="B174" s="362"/>
    </row>
    <row r="175" spans="1:2" ht="25.5">
      <c r="A175" s="363" t="s">
        <v>1503</v>
      </c>
      <c r="B175" s="364">
        <v>-2381.44</v>
      </c>
    </row>
    <row r="176" spans="1:2" ht="25.5">
      <c r="A176" s="363" t="s">
        <v>1504</v>
      </c>
      <c r="B176" s="364">
        <f>-2854.39+161302.74</f>
        <v>158448.34999999998</v>
      </c>
    </row>
    <row r="177" spans="1:2" ht="25.5">
      <c r="A177" s="363" t="s">
        <v>1505</v>
      </c>
      <c r="B177" s="364">
        <v>0</v>
      </c>
    </row>
    <row r="178" spans="1:2" ht="25.5">
      <c r="A178" s="363" t="s">
        <v>1506</v>
      </c>
      <c r="B178" s="364">
        <v>0</v>
      </c>
    </row>
    <row r="179" spans="1:2" ht="38.25">
      <c r="A179" s="363" t="s">
        <v>1507</v>
      </c>
      <c r="B179" s="364">
        <f>-(69896750.98-4789861.08)+8260000</f>
        <v>-56846889.900000006</v>
      </c>
    </row>
    <row r="180" spans="1:2" ht="12.75">
      <c r="A180" s="363" t="s">
        <v>1508</v>
      </c>
      <c r="B180" s="364">
        <v>0</v>
      </c>
    </row>
    <row r="181" spans="1:2" ht="12.75">
      <c r="A181" s="363" t="s">
        <v>1509</v>
      </c>
      <c r="B181" s="364">
        <v>0</v>
      </c>
    </row>
    <row r="182" spans="1:2" ht="12.75">
      <c r="A182" s="363" t="s">
        <v>1510</v>
      </c>
      <c r="B182" s="364">
        <v>0</v>
      </c>
    </row>
    <row r="183" spans="1:2" ht="12.75">
      <c r="A183" s="363" t="s">
        <v>1511</v>
      </c>
      <c r="B183" s="364">
        <v>0</v>
      </c>
    </row>
    <row r="184" spans="1:2" ht="25.5">
      <c r="A184" s="363" t="s">
        <v>1512</v>
      </c>
      <c r="B184" s="364">
        <f>SUM(B175:B183)</f>
        <v>-56690822.99000001</v>
      </c>
    </row>
    <row r="185" spans="1:2" ht="25.5">
      <c r="A185" s="239" t="s">
        <v>1513</v>
      </c>
      <c r="B185" s="362"/>
    </row>
    <row r="186" spans="1:2" ht="25.5">
      <c r="A186" s="363" t="s">
        <v>1514</v>
      </c>
      <c r="B186" s="364">
        <v>0</v>
      </c>
    </row>
    <row r="187" spans="1:2" ht="38.25">
      <c r="A187" s="363" t="s">
        <v>1515</v>
      </c>
      <c r="B187" s="364">
        <v>0</v>
      </c>
    </row>
    <row r="188" spans="1:2" ht="25.5">
      <c r="A188" s="363" t="s">
        <v>1516</v>
      </c>
      <c r="B188" s="364">
        <v>0</v>
      </c>
    </row>
    <row r="189" spans="1:2" ht="38.25">
      <c r="A189" s="363" t="s">
        <v>1517</v>
      </c>
      <c r="B189" s="364">
        <v>0</v>
      </c>
    </row>
    <row r="190" spans="1:2" ht="25.5">
      <c r="A190" s="363" t="s">
        <v>1518</v>
      </c>
      <c r="B190" s="364">
        <v>0</v>
      </c>
    </row>
    <row r="191" spans="1:2" ht="25.5">
      <c r="A191" s="363" t="s">
        <v>1519</v>
      </c>
      <c r="B191" s="364">
        <v>0</v>
      </c>
    </row>
    <row r="192" spans="1:2" ht="25.5">
      <c r="A192" s="363" t="s">
        <v>1520</v>
      </c>
      <c r="B192" s="364">
        <v>0</v>
      </c>
    </row>
    <row r="193" spans="1:2" ht="12.75">
      <c r="A193" s="363" t="s">
        <v>1521</v>
      </c>
      <c r="B193" s="364">
        <v>0</v>
      </c>
    </row>
    <row r="194" spans="1:2" ht="12.75">
      <c r="A194" s="363" t="s">
        <v>1522</v>
      </c>
      <c r="B194" s="364">
        <v>0</v>
      </c>
    </row>
    <row r="195" spans="1:2" ht="25.5">
      <c r="A195" s="363" t="s">
        <v>1523</v>
      </c>
      <c r="B195" s="364">
        <f>SUM(B186:B194)</f>
        <v>0</v>
      </c>
    </row>
    <row r="196" spans="1:2" ht="25.5">
      <c r="A196" s="239" t="s">
        <v>1524</v>
      </c>
      <c r="B196" s="362">
        <f>B173+B184+B195</f>
        <v>-59643273.10000001</v>
      </c>
    </row>
    <row r="197" spans="1:2" ht="12.75">
      <c r="A197" s="239" t="s">
        <v>1525</v>
      </c>
      <c r="B197" s="362">
        <v>60842246.06999998</v>
      </c>
    </row>
    <row r="198" spans="1:2" ht="25.5">
      <c r="A198" s="239" t="s">
        <v>1526</v>
      </c>
      <c r="B198" s="362">
        <f>B196+B197</f>
        <v>1198972.969999969</v>
      </c>
    </row>
    <row r="199" spans="1:2" ht="12.75">
      <c r="A199" s="375"/>
      <c r="B199" s="376"/>
    </row>
    <row r="200" spans="1:2" ht="12.75">
      <c r="A200" s="375"/>
      <c r="B200" s="376"/>
    </row>
    <row r="201" spans="1:2" ht="12.75">
      <c r="A201" s="375"/>
      <c r="B201" s="376"/>
    </row>
    <row r="202" spans="1:2" ht="12.75">
      <c r="A202" s="375"/>
      <c r="B202" s="376"/>
    </row>
    <row r="203" spans="1:2" ht="12.75">
      <c r="A203" s="375"/>
      <c r="B203" s="376"/>
    </row>
    <row r="204" spans="1:2" ht="12.75">
      <c r="A204" s="375"/>
      <c r="B204" s="376"/>
    </row>
    <row r="205" spans="1:2" ht="12.75">
      <c r="A205" s="375"/>
      <c r="B205" s="376"/>
    </row>
    <row r="206" spans="1:2" ht="12.75">
      <c r="A206" s="375"/>
      <c r="B206" s="376"/>
    </row>
    <row r="207" spans="1:2" ht="12.75">
      <c r="A207" s="375"/>
      <c r="B207" s="376"/>
    </row>
    <row r="208" spans="1:2" ht="12.75">
      <c r="A208" s="375"/>
      <c r="B208" s="376"/>
    </row>
    <row r="209" spans="1:2" ht="12.75">
      <c r="A209" s="375"/>
      <c r="B209" s="376"/>
    </row>
    <row r="210" spans="1:2" ht="12.75">
      <c r="A210" s="375"/>
      <c r="B210" s="376"/>
    </row>
    <row r="211" spans="1:2" ht="12.75">
      <c r="A211" s="375"/>
      <c r="B211" s="376"/>
    </row>
    <row r="212" spans="1:2" ht="12.75">
      <c r="A212" s="375"/>
      <c r="B212" s="376"/>
    </row>
    <row r="213" spans="1:2" ht="12.75">
      <c r="A213" s="375"/>
      <c r="B213" s="376"/>
    </row>
    <row r="214" spans="1:2" ht="12.75">
      <c r="A214" s="375"/>
      <c r="B214" s="376"/>
    </row>
    <row r="215" spans="1:2" ht="12.75">
      <c r="A215" s="375"/>
      <c r="B215" s="376"/>
    </row>
    <row r="216" spans="1:2" ht="12.75">
      <c r="A216" s="375"/>
      <c r="B216" s="376"/>
    </row>
    <row r="217" spans="1:2" ht="12.75">
      <c r="A217" s="375"/>
      <c r="B217" s="376"/>
    </row>
    <row r="218" spans="1:2" ht="12.75">
      <c r="A218" s="375"/>
      <c r="B218" s="376"/>
    </row>
    <row r="219" spans="1:2" ht="12.75">
      <c r="A219" s="375"/>
      <c r="B219" s="376"/>
    </row>
    <row r="220" spans="1:2" ht="12.75">
      <c r="A220" s="375"/>
      <c r="B220" s="376"/>
    </row>
    <row r="221" spans="1:2" ht="12.75">
      <c r="A221" s="375"/>
      <c r="B221" s="376"/>
    </row>
    <row r="222" spans="1:2" ht="12.75">
      <c r="A222" s="375"/>
      <c r="B222" s="376"/>
    </row>
    <row r="223" spans="1:2" ht="12.75">
      <c r="A223" s="375"/>
      <c r="B223" s="376"/>
    </row>
    <row r="224" spans="1:2" ht="12.75">
      <c r="A224" s="375"/>
      <c r="B224" s="376"/>
    </row>
    <row r="225" spans="1:2" ht="12.75">
      <c r="A225" s="375"/>
      <c r="B225" s="376"/>
    </row>
    <row r="226" spans="1:2" ht="12.75">
      <c r="A226" s="375"/>
      <c r="B226" s="376"/>
    </row>
    <row r="227" spans="1:2" ht="12.75">
      <c r="A227" s="375"/>
      <c r="B227" s="376"/>
    </row>
    <row r="228" spans="1:2" ht="12.75">
      <c r="A228" s="375"/>
      <c r="B228" s="376"/>
    </row>
    <row r="229" spans="1:2" ht="12.75">
      <c r="A229" s="375"/>
      <c r="B229" s="376"/>
    </row>
    <row r="230" spans="1:2" ht="12.75">
      <c r="A230" s="375"/>
      <c r="B230" s="376"/>
    </row>
    <row r="231" spans="1:2" ht="12.75">
      <c r="A231" s="375"/>
      <c r="B231" s="376"/>
    </row>
    <row r="232" spans="1:2" ht="12.75">
      <c r="A232" s="375"/>
      <c r="B232" s="376"/>
    </row>
    <row r="233" spans="1:2" ht="12.75">
      <c r="A233" s="375"/>
      <c r="B233" s="377"/>
    </row>
    <row r="234" spans="1:2" ht="12.75">
      <c r="A234" s="375"/>
      <c r="B234" s="377"/>
    </row>
    <row r="235" spans="1:2" ht="12.75">
      <c r="A235" s="375"/>
      <c r="B235" s="377"/>
    </row>
    <row r="236" spans="1:2" ht="12.75">
      <c r="A236" s="375"/>
      <c r="B236" s="377"/>
    </row>
    <row r="237" spans="1:2" ht="12.75">
      <c r="A237" s="375"/>
      <c r="B237" s="377"/>
    </row>
    <row r="238" spans="1:2" ht="12.75">
      <c r="A238" s="375"/>
      <c r="B238" s="377"/>
    </row>
    <row r="239" spans="1:2" ht="12.75">
      <c r="A239" s="375"/>
      <c r="B239" s="377"/>
    </row>
    <row r="240" spans="1:2" ht="12.75">
      <c r="A240" s="375"/>
      <c r="B240" s="377"/>
    </row>
    <row r="241" spans="1:2" ht="12.75">
      <c r="A241" s="375"/>
      <c r="B241" s="377"/>
    </row>
    <row r="242" spans="1:2" ht="12.75">
      <c r="A242" s="375"/>
      <c r="B242" s="377"/>
    </row>
    <row r="243" spans="1:2" ht="12.75">
      <c r="A243" s="375"/>
      <c r="B243" s="377"/>
    </row>
    <row r="244" spans="1:2" ht="12.75">
      <c r="A244" s="375"/>
      <c r="B244" s="377"/>
    </row>
    <row r="245" spans="1:2" ht="12.75">
      <c r="A245" s="375"/>
      <c r="B245" s="377"/>
    </row>
    <row r="246" spans="1:2" ht="12.75">
      <c r="A246" s="375"/>
      <c r="B246" s="377"/>
    </row>
    <row r="247" spans="1:2" ht="12.75">
      <c r="A247" s="375"/>
      <c r="B247" s="377"/>
    </row>
    <row r="248" spans="1:2" ht="12.75">
      <c r="A248" s="375"/>
      <c r="B248" s="377"/>
    </row>
    <row r="249" spans="1:2" ht="12.75">
      <c r="A249" s="375"/>
      <c r="B249" s="377"/>
    </row>
    <row r="250" spans="1:2" ht="12.75">
      <c r="A250" s="375"/>
      <c r="B250" s="377"/>
    </row>
    <row r="251" spans="1:2" ht="12.75">
      <c r="A251" s="375"/>
      <c r="B251" s="377"/>
    </row>
    <row r="252" spans="1:2" ht="12.75">
      <c r="A252" s="375"/>
      <c r="B252" s="377"/>
    </row>
    <row r="253" spans="1:2" ht="12.75">
      <c r="A253" s="375"/>
      <c r="B253" s="377"/>
    </row>
    <row r="254" spans="1:2" ht="12.75">
      <c r="A254" s="375"/>
      <c r="B254" s="377"/>
    </row>
    <row r="255" spans="1:2" ht="12.75">
      <c r="A255" s="375"/>
      <c r="B255" s="377"/>
    </row>
    <row r="256" spans="1:2" ht="12.75">
      <c r="A256" s="375"/>
      <c r="B256" s="377"/>
    </row>
    <row r="257" spans="1:2" ht="12.75">
      <c r="A257" s="375"/>
      <c r="B257" s="377"/>
    </row>
    <row r="258" spans="1:2" ht="12.75">
      <c r="A258" s="375"/>
      <c r="B258" s="377"/>
    </row>
    <row r="259" spans="1:2" ht="12.75">
      <c r="A259" s="375"/>
      <c r="B259" s="377"/>
    </row>
    <row r="260" spans="1:2" ht="12.75">
      <c r="A260" s="375"/>
      <c r="B260" s="377"/>
    </row>
    <row r="261" spans="1:2" ht="12.75">
      <c r="A261" s="375"/>
      <c r="B261" s="377"/>
    </row>
    <row r="262" spans="1:2" ht="12.75">
      <c r="A262" s="375"/>
      <c r="B262" s="377"/>
    </row>
    <row r="263" spans="1:2" ht="12.75">
      <c r="A263" s="375"/>
      <c r="B263" s="377"/>
    </row>
    <row r="264" spans="1:2" ht="12.75">
      <c r="A264" s="375"/>
      <c r="B264" s="377"/>
    </row>
    <row r="265" spans="1:2" ht="12.75">
      <c r="A265" s="375"/>
      <c r="B265" s="377"/>
    </row>
    <row r="266" spans="1:2" ht="12.75">
      <c r="A266" s="375"/>
      <c r="B266" s="377"/>
    </row>
    <row r="267" spans="1:2" ht="12.75">
      <c r="A267" s="375"/>
      <c r="B267" s="377"/>
    </row>
    <row r="268" spans="1:2" ht="12.75">
      <c r="A268" s="375"/>
      <c r="B268" s="377"/>
    </row>
    <row r="269" spans="1:2" ht="12.75">
      <c r="A269" s="375"/>
      <c r="B269" s="377"/>
    </row>
    <row r="270" spans="1:2" ht="12.75">
      <c r="A270" s="375"/>
      <c r="B270" s="377"/>
    </row>
    <row r="271" spans="1:2" ht="12.75">
      <c r="A271" s="375"/>
      <c r="B271" s="377"/>
    </row>
    <row r="272" spans="1:2" ht="12.75">
      <c r="A272" s="375"/>
      <c r="B272" s="377"/>
    </row>
    <row r="273" spans="1:2" ht="12.75">
      <c r="A273" s="375"/>
      <c r="B273" s="377"/>
    </row>
    <row r="274" spans="1:2" ht="12.75">
      <c r="A274" s="375"/>
      <c r="B274" s="377"/>
    </row>
    <row r="275" spans="1:2" ht="12.75">
      <c r="A275" s="375"/>
      <c r="B275" s="377"/>
    </row>
    <row r="276" spans="1:2" ht="12.75">
      <c r="A276" s="375"/>
      <c r="B276" s="377"/>
    </row>
    <row r="277" spans="1:2" ht="12.75">
      <c r="A277" s="375"/>
      <c r="B277" s="377"/>
    </row>
    <row r="278" spans="1:2" ht="12.75">
      <c r="A278" s="375"/>
      <c r="B278" s="377"/>
    </row>
    <row r="279" spans="1:2" ht="12.75">
      <c r="A279" s="375"/>
      <c r="B279" s="377"/>
    </row>
    <row r="280" spans="1:2" ht="12.75">
      <c r="A280" s="375"/>
      <c r="B280" s="377"/>
    </row>
    <row r="281" spans="1:2" ht="12.75">
      <c r="A281" s="375"/>
      <c r="B281" s="377"/>
    </row>
    <row r="282" spans="1:2" ht="12.75">
      <c r="A282" s="375"/>
      <c r="B282" s="377"/>
    </row>
    <row r="283" spans="1:2" ht="12.75">
      <c r="A283" s="375"/>
      <c r="B283" s="377"/>
    </row>
    <row r="284" spans="1:2" ht="12.75">
      <c r="A284" s="375"/>
      <c r="B284" s="377"/>
    </row>
    <row r="285" spans="1:2" ht="12.75">
      <c r="A285" s="375"/>
      <c r="B285" s="377"/>
    </row>
    <row r="286" spans="1:2" ht="12.75">
      <c r="A286" s="375"/>
      <c r="B286" s="377"/>
    </row>
    <row r="287" spans="1:2" ht="12.75">
      <c r="A287" s="375"/>
      <c r="B287" s="377"/>
    </row>
    <row r="288" spans="1:2" ht="12.75">
      <c r="A288" s="375"/>
      <c r="B288" s="377"/>
    </row>
    <row r="289" spans="1:2" ht="12.75">
      <c r="A289" s="375"/>
      <c r="B289" s="377"/>
    </row>
    <row r="290" spans="1:2" ht="12.75">
      <c r="A290" s="375"/>
      <c r="B290" s="377"/>
    </row>
    <row r="291" spans="1:2" ht="12.75">
      <c r="A291" s="375"/>
      <c r="B291" s="377"/>
    </row>
    <row r="292" spans="1:2" ht="12.75">
      <c r="A292" s="375"/>
      <c r="B292" s="377"/>
    </row>
    <row r="293" spans="1:2" ht="12.75">
      <c r="A293" s="375"/>
      <c r="B293" s="377"/>
    </row>
    <row r="294" spans="1:2" ht="12.75">
      <c r="A294" s="375"/>
      <c r="B294" s="377"/>
    </row>
    <row r="295" spans="1:2" ht="12.75">
      <c r="A295" s="375"/>
      <c r="B295" s="377"/>
    </row>
    <row r="296" spans="1:2" ht="12.75">
      <c r="A296" s="375"/>
      <c r="B296" s="377"/>
    </row>
    <row r="297" spans="1:2" ht="12.75">
      <c r="A297" s="375"/>
      <c r="B297" s="377"/>
    </row>
    <row r="298" spans="1:2" ht="12.75">
      <c r="A298" s="375"/>
      <c r="B298" s="377"/>
    </row>
    <row r="299" spans="1:2" ht="12.75">
      <c r="A299" s="375"/>
      <c r="B299" s="377"/>
    </row>
    <row r="300" spans="1:2" ht="12.75">
      <c r="A300" s="375"/>
      <c r="B300" s="377"/>
    </row>
    <row r="301" spans="1:2" ht="12.75">
      <c r="A301" s="375"/>
      <c r="B301" s="377"/>
    </row>
    <row r="302" spans="1:2" ht="12.75">
      <c r="A302" s="375"/>
      <c r="B302" s="377"/>
    </row>
    <row r="303" spans="1:2" ht="12.75">
      <c r="A303" s="375"/>
      <c r="B303" s="377"/>
    </row>
    <row r="304" spans="1:2" ht="12.75">
      <c r="A304" s="375"/>
      <c r="B304" s="377"/>
    </row>
    <row r="305" spans="1:2" ht="12.75">
      <c r="A305" s="375"/>
      <c r="B305" s="377"/>
    </row>
    <row r="306" spans="1:2" ht="12.75">
      <c r="A306" s="375"/>
      <c r="B306" s="377"/>
    </row>
    <row r="307" spans="1:2" ht="12.75">
      <c r="A307" s="375"/>
      <c r="B307" s="377"/>
    </row>
    <row r="308" spans="1:2" ht="12.75">
      <c r="A308" s="375"/>
      <c r="B308" s="377"/>
    </row>
    <row r="309" spans="1:2" ht="12.75">
      <c r="A309" s="375"/>
      <c r="B309" s="377"/>
    </row>
    <row r="310" spans="1:2" ht="12.75">
      <c r="A310" s="375"/>
      <c r="B310" s="377"/>
    </row>
    <row r="311" spans="1:2" ht="12.75">
      <c r="A311" s="375"/>
      <c r="B311" s="377"/>
    </row>
    <row r="312" spans="1:2" ht="12.75">
      <c r="A312" s="375"/>
      <c r="B312" s="377"/>
    </row>
    <row r="313" spans="1:2" ht="12.75">
      <c r="A313" s="375"/>
      <c r="B313" s="377"/>
    </row>
    <row r="314" spans="1:2" ht="12.75">
      <c r="A314" s="375"/>
      <c r="B314" s="377"/>
    </row>
    <row r="315" spans="1:2" ht="12.75">
      <c r="A315" s="375"/>
      <c r="B315" s="377"/>
    </row>
    <row r="316" spans="1:2" ht="12.75">
      <c r="A316" s="375"/>
      <c r="B316" s="377"/>
    </row>
    <row r="317" spans="1:2" ht="12.75">
      <c r="A317" s="375"/>
      <c r="B317" s="377"/>
    </row>
    <row r="318" spans="1:2" ht="12.75">
      <c r="A318" s="375"/>
      <c r="B318" s="377"/>
    </row>
    <row r="319" spans="1:2" ht="12.75">
      <c r="A319" s="375"/>
      <c r="B319" s="377"/>
    </row>
    <row r="320" spans="1:2" ht="12.75">
      <c r="A320" s="375"/>
      <c r="B320" s="377"/>
    </row>
    <row r="321" spans="1:2" ht="12.75">
      <c r="A321" s="375"/>
      <c r="B321" s="377"/>
    </row>
    <row r="322" spans="1:2" ht="12.75">
      <c r="A322" s="375"/>
      <c r="B322" s="377"/>
    </row>
    <row r="323" spans="1:2" ht="12.75">
      <c r="A323" s="375"/>
      <c r="B323" s="377"/>
    </row>
    <row r="324" spans="1:2" ht="12.75">
      <c r="A324" s="375"/>
      <c r="B324" s="377"/>
    </row>
    <row r="325" spans="1:2" ht="12.75">
      <c r="A325" s="375"/>
      <c r="B325" s="377"/>
    </row>
    <row r="326" spans="1:2" ht="12.75">
      <c r="A326" s="375"/>
      <c r="B326" s="377"/>
    </row>
    <row r="327" spans="1:2" ht="12.75">
      <c r="A327" s="375"/>
      <c r="B327" s="377"/>
    </row>
    <row r="328" spans="1:2" ht="12.75">
      <c r="A328" s="375"/>
      <c r="B328" s="377"/>
    </row>
    <row r="329" spans="1:2" ht="12.75">
      <c r="A329" s="375"/>
      <c r="B329" s="377"/>
    </row>
    <row r="330" spans="1:2" ht="12.75">
      <c r="A330" s="375"/>
      <c r="B330" s="377"/>
    </row>
    <row r="331" spans="1:2" ht="12.75">
      <c r="A331" s="375"/>
      <c r="B331" s="377"/>
    </row>
    <row r="332" spans="1:2" ht="12.75">
      <c r="A332" s="375"/>
      <c r="B332" s="377"/>
    </row>
    <row r="333" spans="1:2" ht="12.75">
      <c r="A333" s="375"/>
      <c r="B333" s="377"/>
    </row>
    <row r="334" spans="1:2" ht="12.75">
      <c r="A334" s="375"/>
      <c r="B334" s="377"/>
    </row>
    <row r="335" spans="1:2" ht="12.75">
      <c r="A335" s="375"/>
      <c r="B335" s="377"/>
    </row>
    <row r="336" spans="1:2" ht="12.75">
      <c r="A336" s="375"/>
      <c r="B336" s="377"/>
    </row>
    <row r="337" spans="1:2" ht="12.75">
      <c r="A337" s="375"/>
      <c r="B337" s="377"/>
    </row>
    <row r="338" spans="1:2" ht="12.75">
      <c r="A338" s="375"/>
      <c r="B338" s="377"/>
    </row>
    <row r="339" spans="1:2" ht="12.75">
      <c r="A339" s="375"/>
      <c r="B339" s="377"/>
    </row>
    <row r="340" spans="1:2" ht="12.75">
      <c r="A340" s="375"/>
      <c r="B340" s="377"/>
    </row>
    <row r="341" spans="1:2" ht="12.75">
      <c r="A341" s="375"/>
      <c r="B341" s="377"/>
    </row>
    <row r="342" spans="1:2" ht="12.75">
      <c r="A342" s="375"/>
      <c r="B342" s="377"/>
    </row>
    <row r="343" spans="1:2" ht="12.75">
      <c r="A343" s="375"/>
      <c r="B343" s="377"/>
    </row>
    <row r="344" spans="1:2" ht="12.75">
      <c r="A344" s="375"/>
      <c r="B344" s="377"/>
    </row>
    <row r="345" spans="1:2" ht="12.75">
      <c r="A345" s="375"/>
      <c r="B345" s="377"/>
    </row>
    <row r="346" spans="1:2" ht="12.75">
      <c r="A346" s="375"/>
      <c r="B346" s="377"/>
    </row>
    <row r="347" spans="1:2" ht="12.75">
      <c r="A347" s="375"/>
      <c r="B347" s="377"/>
    </row>
    <row r="348" spans="1:2" ht="12.75">
      <c r="A348" s="375"/>
      <c r="B348" s="377"/>
    </row>
    <row r="349" spans="1:2" ht="12.75">
      <c r="A349" s="375"/>
      <c r="B349" s="377"/>
    </row>
    <row r="350" spans="1:2" ht="12.75">
      <c r="A350" s="375"/>
      <c r="B350" s="377"/>
    </row>
    <row r="351" spans="1:2" ht="12.75">
      <c r="A351" s="375"/>
      <c r="B351" s="377"/>
    </row>
    <row r="352" spans="1:2" ht="12.75">
      <c r="A352" s="375"/>
      <c r="B352" s="377"/>
    </row>
    <row r="353" spans="1:2" ht="12.75">
      <c r="A353" s="375"/>
      <c r="B353" s="377"/>
    </row>
    <row r="354" spans="1:2" ht="12.75">
      <c r="A354" s="375"/>
      <c r="B354" s="377"/>
    </row>
    <row r="355" spans="1:2" ht="12.75">
      <c r="A355" s="375"/>
      <c r="B355" s="377"/>
    </row>
    <row r="356" spans="1:2" ht="12.75">
      <c r="A356" s="375"/>
      <c r="B356" s="377"/>
    </row>
    <row r="357" spans="1:2" ht="12.75">
      <c r="A357" s="375"/>
      <c r="B357" s="377"/>
    </row>
    <row r="358" spans="1:2" ht="12.75">
      <c r="A358" s="375"/>
      <c r="B358" s="377"/>
    </row>
    <row r="359" spans="1:2" ht="12.75">
      <c r="A359" s="375"/>
      <c r="B359" s="377"/>
    </row>
    <row r="360" spans="1:2" ht="12.75">
      <c r="A360" s="375"/>
      <c r="B360" s="377"/>
    </row>
    <row r="361" spans="1:2" ht="12.75">
      <c r="A361" s="375"/>
      <c r="B361" s="377"/>
    </row>
    <row r="362" spans="1:2" ht="12.75">
      <c r="A362" s="375"/>
      <c r="B362" s="377"/>
    </row>
    <row r="363" spans="1:2" ht="12.75">
      <c r="A363" s="375"/>
      <c r="B363" s="377"/>
    </row>
    <row r="364" spans="1:2" ht="12.75">
      <c r="A364" s="375"/>
      <c r="B364" s="377"/>
    </row>
    <row r="365" spans="1:2" ht="12.75">
      <c r="A365" s="375"/>
      <c r="B365" s="377"/>
    </row>
    <row r="366" spans="1:2" ht="12.75">
      <c r="A366" s="375"/>
      <c r="B366" s="377"/>
    </row>
    <row r="367" spans="1:2" ht="12.75">
      <c r="A367" s="375"/>
      <c r="B367" s="377"/>
    </row>
    <row r="368" spans="1:2" ht="12.75">
      <c r="A368" s="375"/>
      <c r="B368" s="377"/>
    </row>
    <row r="369" spans="1:2" ht="12.75">
      <c r="A369" s="375"/>
      <c r="B369" s="377"/>
    </row>
    <row r="370" spans="1:2" ht="12.75">
      <c r="A370" s="375"/>
      <c r="B370" s="377"/>
    </row>
    <row r="371" spans="1:2" ht="12.75">
      <c r="A371" s="375"/>
      <c r="B371" s="377"/>
    </row>
    <row r="372" spans="1:2" ht="12.75">
      <c r="A372" s="375"/>
      <c r="B372" s="377"/>
    </row>
    <row r="373" spans="1:2" ht="12.75">
      <c r="A373" s="375"/>
      <c r="B373" s="377"/>
    </row>
    <row r="374" spans="1:2" ht="12.75">
      <c r="A374" s="375"/>
      <c r="B374" s="377"/>
    </row>
    <row r="375" spans="1:2" ht="12.75">
      <c r="A375" s="375"/>
      <c r="B375" s="377"/>
    </row>
    <row r="376" spans="1:2" ht="12.75">
      <c r="A376" s="375"/>
      <c r="B376" s="377"/>
    </row>
    <row r="377" spans="1:2" ht="12.75">
      <c r="A377" s="375"/>
      <c r="B377" s="377"/>
    </row>
    <row r="378" spans="1:2" ht="12.75">
      <c r="A378" s="375"/>
      <c r="B378" s="377"/>
    </row>
    <row r="379" spans="1:2" ht="12.75">
      <c r="A379" s="375"/>
      <c r="B379" s="377"/>
    </row>
    <row r="380" spans="1:2" ht="12.75">
      <c r="A380" s="375"/>
      <c r="B380" s="377"/>
    </row>
    <row r="381" spans="1:2" ht="12.75">
      <c r="A381" s="375"/>
      <c r="B381" s="377"/>
    </row>
    <row r="382" spans="1:2" ht="12.75">
      <c r="A382" s="375"/>
      <c r="B382" s="377"/>
    </row>
    <row r="383" spans="1:2" ht="12.75">
      <c r="A383" s="375"/>
      <c r="B383" s="377"/>
    </row>
    <row r="384" spans="1:2" ht="12.75">
      <c r="A384" s="375"/>
      <c r="B384" s="377"/>
    </row>
    <row r="385" spans="1:2" ht="12.75">
      <c r="A385" s="375"/>
      <c r="B385" s="377"/>
    </row>
    <row r="386" spans="1:2" ht="12.75">
      <c r="A386" s="375"/>
      <c r="B386" s="377"/>
    </row>
    <row r="387" spans="1:2" ht="12.75">
      <c r="A387" s="375"/>
      <c r="B387" s="377"/>
    </row>
    <row r="388" spans="1:2" ht="12.75">
      <c r="A388" s="375"/>
      <c r="B388" s="377"/>
    </row>
    <row r="389" spans="1:2" ht="12.75">
      <c r="A389" s="375"/>
      <c r="B389" s="377"/>
    </row>
    <row r="390" spans="1:2" ht="12.75">
      <c r="A390" s="375"/>
      <c r="B390" s="377"/>
    </row>
    <row r="391" spans="1:2" ht="12.75">
      <c r="A391" s="375"/>
      <c r="B391" s="377"/>
    </row>
    <row r="392" spans="1:2" ht="12.75">
      <c r="A392" s="375"/>
      <c r="B392" s="377"/>
    </row>
    <row r="393" spans="1:2" ht="12.75">
      <c r="A393" s="375"/>
      <c r="B393" s="377"/>
    </row>
    <row r="394" spans="1:2" ht="12.75">
      <c r="A394" s="375"/>
      <c r="B394" s="377"/>
    </row>
    <row r="395" spans="1:2" ht="12.75">
      <c r="A395" s="375"/>
      <c r="B395" s="377"/>
    </row>
    <row r="396" spans="1:2" ht="12.75">
      <c r="A396" s="375"/>
      <c r="B396" s="377"/>
    </row>
    <row r="397" spans="1:2" ht="12.75">
      <c r="A397" s="375"/>
      <c r="B397" s="377"/>
    </row>
    <row r="398" spans="1:2" ht="12.75">
      <c r="A398" s="375"/>
      <c r="B398" s="377"/>
    </row>
    <row r="399" spans="1:2" ht="12.75">
      <c r="A399" s="375"/>
      <c r="B399" s="377"/>
    </row>
    <row r="400" spans="1:2" ht="12.75">
      <c r="A400" s="375"/>
      <c r="B400" s="377"/>
    </row>
    <row r="401" spans="1:2" ht="12.75">
      <c r="A401" s="375"/>
      <c r="B401" s="377"/>
    </row>
    <row r="402" spans="1:2" ht="12.75">
      <c r="A402" s="375"/>
      <c r="B402" s="377"/>
    </row>
    <row r="403" spans="1:2" ht="12.75">
      <c r="A403" s="375"/>
      <c r="B403" s="377"/>
    </row>
    <row r="404" spans="1:2" ht="12.75">
      <c r="A404" s="375"/>
      <c r="B404" s="377"/>
    </row>
    <row r="405" spans="1:2" ht="12.75">
      <c r="A405" s="375"/>
      <c r="B405" s="377"/>
    </row>
    <row r="406" spans="1:2" ht="12.75">
      <c r="A406" s="375"/>
      <c r="B406" s="377"/>
    </row>
    <row r="407" spans="1:2" ht="12.75">
      <c r="A407" s="375"/>
      <c r="B407" s="377"/>
    </row>
    <row r="408" spans="1:2" ht="12.75">
      <c r="A408" s="375"/>
      <c r="B408" s="377"/>
    </row>
    <row r="409" spans="1:2" ht="12.75">
      <c r="A409" s="375"/>
      <c r="B409" s="377"/>
    </row>
    <row r="410" spans="1:2" ht="12.75">
      <c r="A410" s="375"/>
      <c r="B410" s="377"/>
    </row>
    <row r="411" spans="1:2" ht="12.75">
      <c r="A411" s="375"/>
      <c r="B411" s="377"/>
    </row>
    <row r="412" spans="1:2" ht="12.75">
      <c r="A412" s="375"/>
      <c r="B412" s="377"/>
    </row>
    <row r="413" spans="1:2" ht="12.75">
      <c r="A413" s="375"/>
      <c r="B413" s="377"/>
    </row>
    <row r="414" spans="1:2" ht="12.75">
      <c r="A414" s="375"/>
      <c r="B414" s="377"/>
    </row>
    <row r="415" spans="1:2" ht="12.75">
      <c r="A415" s="375"/>
      <c r="B415" s="377"/>
    </row>
    <row r="416" spans="1:2" ht="12.75">
      <c r="A416" s="375"/>
      <c r="B416" s="377"/>
    </row>
    <row r="417" spans="1:2" ht="12.75">
      <c r="A417" s="375"/>
      <c r="B417" s="377"/>
    </row>
    <row r="418" spans="1:2" ht="12.75">
      <c r="A418" s="375"/>
      <c r="B418" s="377"/>
    </row>
    <row r="419" spans="1:2" ht="12.75">
      <c r="A419" s="375"/>
      <c r="B419" s="377"/>
    </row>
    <row r="420" spans="1:2" ht="12.75">
      <c r="A420" s="375"/>
      <c r="B420" s="377"/>
    </row>
    <row r="421" spans="1:2" ht="12.75">
      <c r="A421" s="375"/>
      <c r="B421" s="377"/>
    </row>
    <row r="422" spans="1:2" ht="12.75">
      <c r="A422" s="375"/>
      <c r="B422" s="377"/>
    </row>
    <row r="423" spans="1:2" ht="12.75">
      <c r="A423" s="375"/>
      <c r="B423" s="377"/>
    </row>
    <row r="424" spans="1:2" ht="12.75">
      <c r="A424" s="375"/>
      <c r="B424" s="377"/>
    </row>
    <row r="425" spans="1:2" ht="12.75">
      <c r="A425" s="375"/>
      <c r="B425" s="377"/>
    </row>
    <row r="426" spans="1:2" ht="12.75">
      <c r="A426" s="375"/>
      <c r="B426" s="377"/>
    </row>
    <row r="427" spans="1:2" ht="12.75">
      <c r="A427" s="375"/>
      <c r="B427" s="377"/>
    </row>
    <row r="428" spans="1:2" ht="12.75">
      <c r="A428" s="375"/>
      <c r="B428" s="377"/>
    </row>
    <row r="429" spans="1:2" ht="12.75">
      <c r="A429" s="375"/>
      <c r="B429" s="377"/>
    </row>
    <row r="430" spans="1:2" ht="12.75">
      <c r="A430" s="375"/>
      <c r="B430" s="377"/>
    </row>
    <row r="431" spans="1:2" ht="12.75">
      <c r="A431" s="375"/>
      <c r="B431" s="377"/>
    </row>
    <row r="432" spans="1:2" ht="12.75">
      <c r="A432" s="375"/>
      <c r="B432" s="377"/>
    </row>
    <row r="433" spans="1:2" ht="12.75">
      <c r="A433" s="375"/>
      <c r="B433" s="377"/>
    </row>
    <row r="434" spans="1:2" ht="12.75">
      <c r="A434" s="375"/>
      <c r="B434" s="377"/>
    </row>
    <row r="435" spans="1:2" ht="12.75">
      <c r="A435" s="375"/>
      <c r="B435" s="377"/>
    </row>
    <row r="436" spans="1:2" ht="12.75">
      <c r="A436" s="375"/>
      <c r="B436" s="377"/>
    </row>
    <row r="437" spans="1:2" ht="12.75">
      <c r="A437" s="375"/>
      <c r="B437" s="377"/>
    </row>
    <row r="438" spans="1:2" ht="12.75">
      <c r="A438" s="375"/>
      <c r="B438" s="377"/>
    </row>
    <row r="439" spans="1:2" ht="12.75">
      <c r="A439" s="375"/>
      <c r="B439" s="377"/>
    </row>
    <row r="440" spans="1:2" ht="12.75">
      <c r="A440" s="375"/>
      <c r="B440" s="377"/>
    </row>
    <row r="441" spans="1:2" ht="12.75">
      <c r="A441" s="375"/>
      <c r="B441" s="377"/>
    </row>
    <row r="442" spans="1:2" ht="12.75">
      <c r="A442" s="375"/>
      <c r="B442" s="377"/>
    </row>
    <row r="443" spans="1:2" ht="12.75">
      <c r="A443" s="375"/>
      <c r="B443" s="377"/>
    </row>
    <row r="444" spans="1:2" ht="12.75">
      <c r="A444" s="375"/>
      <c r="B444" s="377"/>
    </row>
    <row r="445" spans="1:2" ht="12.75">
      <c r="A445" s="375"/>
      <c r="B445" s="377"/>
    </row>
    <row r="446" spans="1:2" ht="12.75">
      <c r="A446" s="375"/>
      <c r="B446" s="377"/>
    </row>
    <row r="447" spans="1:2" ht="12.75">
      <c r="A447" s="375"/>
      <c r="B447" s="377"/>
    </row>
    <row r="448" spans="1:2" ht="12.75">
      <c r="A448" s="375"/>
      <c r="B448" s="377"/>
    </row>
    <row r="449" spans="1:2" ht="12.75">
      <c r="A449" s="375"/>
      <c r="B449" s="377"/>
    </row>
    <row r="450" spans="1:2" ht="12.75">
      <c r="A450" s="375"/>
      <c r="B450" s="377"/>
    </row>
    <row r="451" spans="1:2" ht="12.75">
      <c r="A451" s="375"/>
      <c r="B451" s="377"/>
    </row>
    <row r="452" spans="1:2" ht="12.75">
      <c r="A452" s="375"/>
      <c r="B452" s="377"/>
    </row>
    <row r="453" spans="1:2" ht="12.75">
      <c r="A453" s="375"/>
      <c r="B453" s="377"/>
    </row>
    <row r="454" spans="1:2" ht="12.75">
      <c r="A454" s="375"/>
      <c r="B454" s="377"/>
    </row>
    <row r="455" spans="1:2" ht="12.75">
      <c r="A455" s="375"/>
      <c r="B455" s="377"/>
    </row>
    <row r="456" spans="1:2" ht="12.75">
      <c r="A456" s="375"/>
      <c r="B456" s="377"/>
    </row>
    <row r="457" spans="1:2" ht="12.75">
      <c r="A457" s="375"/>
      <c r="B457" s="377"/>
    </row>
    <row r="458" spans="1:2" ht="12.75">
      <c r="A458" s="375"/>
      <c r="B458" s="377"/>
    </row>
    <row r="459" spans="1:2" ht="12.75">
      <c r="A459" s="375"/>
      <c r="B459" s="377"/>
    </row>
    <row r="460" spans="1:2" ht="12.75">
      <c r="A460" s="375"/>
      <c r="B460" s="377"/>
    </row>
    <row r="461" spans="1:2" ht="12.75">
      <c r="A461" s="375"/>
      <c r="B461" s="377"/>
    </row>
    <row r="462" spans="1:2" ht="12.75">
      <c r="A462" s="375"/>
      <c r="B462" s="377"/>
    </row>
    <row r="463" spans="1:2" ht="12.75">
      <c r="A463" s="375"/>
      <c r="B463" s="377"/>
    </row>
    <row r="464" spans="1:2" ht="12.75">
      <c r="A464" s="375"/>
      <c r="B464" s="377"/>
    </row>
    <row r="465" spans="1:2" ht="12.75">
      <c r="A465" s="375"/>
      <c r="B465" s="377"/>
    </row>
    <row r="466" spans="1:2" ht="12.75">
      <c r="A466" s="375"/>
      <c r="B466" s="377"/>
    </row>
    <row r="467" spans="1:2" ht="12.75">
      <c r="A467" s="375"/>
      <c r="B467" s="377"/>
    </row>
    <row r="468" spans="1:2" ht="12.75">
      <c r="A468" s="375"/>
      <c r="B468" s="377"/>
    </row>
    <row r="469" spans="1:2" ht="12.75">
      <c r="A469" s="375"/>
      <c r="B469" s="377"/>
    </row>
    <row r="470" spans="1:2" ht="12.75">
      <c r="A470" s="375"/>
      <c r="B470" s="377"/>
    </row>
    <row r="471" spans="1:2" ht="12.75">
      <c r="A471" s="375"/>
      <c r="B471" s="377"/>
    </row>
    <row r="472" spans="1:2" ht="12.75">
      <c r="A472" s="375"/>
      <c r="B472" s="377"/>
    </row>
    <row r="473" spans="1:2" ht="12.75">
      <c r="A473" s="375"/>
      <c r="B473" s="377"/>
    </row>
    <row r="474" spans="1:2" ht="12.75">
      <c r="A474" s="375"/>
      <c r="B474" s="377"/>
    </row>
    <row r="475" spans="1:2" ht="12.75">
      <c r="A475" s="375"/>
      <c r="B475" s="377"/>
    </row>
    <row r="476" spans="1:2" ht="12.75">
      <c r="A476" s="375"/>
      <c r="B476" s="377"/>
    </row>
    <row r="477" spans="1:2" ht="12.75">
      <c r="A477" s="375"/>
      <c r="B477" s="377"/>
    </row>
    <row r="478" spans="1:2" ht="12.75">
      <c r="A478" s="375"/>
      <c r="B478" s="377"/>
    </row>
    <row r="479" spans="1:2" ht="12.75">
      <c r="A479" s="375"/>
      <c r="B479" s="377"/>
    </row>
    <row r="480" spans="1:2" ht="12.75">
      <c r="A480" s="375"/>
      <c r="B480" s="377"/>
    </row>
    <row r="481" spans="1:2" ht="12.75">
      <c r="A481" s="375"/>
      <c r="B481" s="377"/>
    </row>
    <row r="482" spans="1:2" ht="12.75">
      <c r="A482" s="375"/>
      <c r="B482" s="377"/>
    </row>
    <row r="483" spans="1:2" ht="12.75">
      <c r="A483" s="375"/>
      <c r="B483" s="377"/>
    </row>
    <row r="484" spans="1:2" ht="12.75">
      <c r="A484" s="375"/>
      <c r="B484" s="377"/>
    </row>
    <row r="485" spans="1:2" ht="12.75">
      <c r="A485" s="375"/>
      <c r="B485" s="377"/>
    </row>
    <row r="486" spans="1:2" ht="12.75">
      <c r="A486" s="375"/>
      <c r="B486" s="377"/>
    </row>
    <row r="487" spans="1:2" ht="12.75">
      <c r="A487" s="375"/>
      <c r="B487" s="377"/>
    </row>
    <row r="488" spans="1:2" ht="12.75">
      <c r="A488" s="375"/>
      <c r="B488" s="377"/>
    </row>
    <row r="489" spans="1:2" ht="12.75">
      <c r="A489" s="375"/>
      <c r="B489" s="377"/>
    </row>
    <row r="490" spans="1:2" ht="12.75">
      <c r="A490" s="375"/>
      <c r="B490" s="377"/>
    </row>
    <row r="491" spans="1:2" ht="12.75">
      <c r="A491" s="375"/>
      <c r="B491" s="377"/>
    </row>
    <row r="492" spans="1:2" ht="12.75">
      <c r="A492" s="375"/>
      <c r="B492" s="377"/>
    </row>
    <row r="493" spans="1:2" ht="12.75">
      <c r="A493" s="375"/>
      <c r="B493" s="377"/>
    </row>
    <row r="494" spans="1:2" ht="12.75">
      <c r="A494" s="375"/>
      <c r="B494" s="377"/>
    </row>
    <row r="495" spans="1:2" ht="12.75">
      <c r="A495" s="375"/>
      <c r="B495" s="377"/>
    </row>
    <row r="496" spans="1:2" ht="12.75">
      <c r="A496" s="375"/>
      <c r="B496" s="377"/>
    </row>
    <row r="497" spans="1:2" ht="12.75">
      <c r="A497" s="375"/>
      <c r="B497" s="377"/>
    </row>
    <row r="498" spans="1:2" ht="12.75">
      <c r="A498" s="375"/>
      <c r="B498" s="377"/>
    </row>
    <row r="499" spans="1:2" ht="12.75">
      <c r="A499" s="375"/>
      <c r="B499" s="377"/>
    </row>
    <row r="500" spans="1:2" ht="12.75">
      <c r="A500" s="375"/>
      <c r="B500" s="377"/>
    </row>
    <row r="501" spans="1:2" ht="12.75">
      <c r="A501" s="375"/>
      <c r="B501" s="377"/>
    </row>
    <row r="502" spans="1:2" ht="12.75">
      <c r="A502" s="375"/>
      <c r="B502" s="377"/>
    </row>
    <row r="503" spans="1:2" ht="12.75">
      <c r="A503" s="375"/>
      <c r="B503" s="377"/>
    </row>
    <row r="504" spans="1:2" ht="12.75">
      <c r="A504" s="375"/>
      <c r="B504" s="377"/>
    </row>
    <row r="505" spans="1:2" ht="12.75">
      <c r="A505" s="375"/>
      <c r="B505" s="377"/>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G89"/>
  <sheetViews>
    <sheetView workbookViewId="0" topLeftCell="A1">
      <selection activeCell="I94" sqref="I94"/>
    </sheetView>
  </sheetViews>
  <sheetFormatPr defaultColWidth="9.140625" defaultRowHeight="12.75"/>
  <cols>
    <col min="6" max="6" width="13.00390625" style="0" bestFit="1" customWidth="1"/>
    <col min="7" max="7" width="13.28125" style="0" bestFit="1" customWidth="1"/>
  </cols>
  <sheetData>
    <row r="3" spans="1:7" ht="12.75">
      <c r="A3" s="328" t="s">
        <v>888</v>
      </c>
      <c r="B3" s="328"/>
      <c r="C3" s="328"/>
      <c r="D3" s="328"/>
      <c r="E3" s="328"/>
      <c r="F3" s="328"/>
      <c r="G3" s="328"/>
    </row>
    <row r="4" spans="1:7" ht="12.75">
      <c r="A4" s="328" t="s">
        <v>1188</v>
      </c>
      <c r="B4" s="328"/>
      <c r="C4" s="328"/>
      <c r="D4" s="328"/>
      <c r="E4" s="328"/>
      <c r="F4" s="328"/>
      <c r="G4" s="328"/>
    </row>
    <row r="5" spans="1:7" ht="12.75">
      <c r="A5" s="481" t="s">
        <v>889</v>
      </c>
      <c r="B5" s="481"/>
      <c r="C5" s="481"/>
      <c r="D5" s="481"/>
      <c r="E5" s="481"/>
      <c r="F5" s="481"/>
      <c r="G5" s="481"/>
    </row>
    <row r="8" spans="6:7" ht="12.75">
      <c r="F8" s="328"/>
      <c r="G8" s="482">
        <v>37072</v>
      </c>
    </row>
    <row r="10" ht="12.75">
      <c r="A10" s="483" t="s">
        <v>1578</v>
      </c>
    </row>
    <row r="11" spans="1:2" ht="12.75">
      <c r="A11" s="483" t="s">
        <v>1412</v>
      </c>
      <c r="B11" s="483"/>
    </row>
    <row r="12" spans="2:7" ht="12.75">
      <c r="B12" t="s">
        <v>890</v>
      </c>
      <c r="F12" s="326"/>
      <c r="G12" s="326">
        <f>991931.73-882266.83</f>
        <v>109664.90000000002</v>
      </c>
    </row>
    <row r="13" spans="2:7" ht="12.75">
      <c r="B13" t="s">
        <v>1068</v>
      </c>
      <c r="F13" s="326"/>
      <c r="G13" s="326">
        <f>826978.05-707779.43</f>
        <v>119198.62</v>
      </c>
    </row>
    <row r="14" spans="2:7" ht="12.75">
      <c r="B14" t="s">
        <v>509</v>
      </c>
      <c r="F14" s="326"/>
      <c r="G14" s="326">
        <v>699120.44</v>
      </c>
    </row>
    <row r="15" spans="6:7" ht="12.75">
      <c r="F15" s="326"/>
      <c r="G15" s="326"/>
    </row>
    <row r="16" spans="1:7" ht="12.75">
      <c r="A16" s="328" t="s">
        <v>891</v>
      </c>
      <c r="B16" s="328"/>
      <c r="C16" s="328"/>
      <c r="D16" s="328"/>
      <c r="E16" s="328"/>
      <c r="F16" s="484"/>
      <c r="G16" s="484">
        <f>SUM(G12:G15)</f>
        <v>927983.96</v>
      </c>
    </row>
    <row r="17" spans="6:7" ht="12.75">
      <c r="F17" s="326"/>
      <c r="G17" s="326"/>
    </row>
    <row r="18" spans="1:7" ht="12.75">
      <c r="A18" s="483" t="s">
        <v>1417</v>
      </c>
      <c r="B18" s="483"/>
      <c r="F18" s="326"/>
      <c r="G18" s="326"/>
    </row>
    <row r="19" spans="2:7" ht="12.75">
      <c r="B19" t="s">
        <v>537</v>
      </c>
      <c r="F19" s="326"/>
      <c r="G19" s="326">
        <v>179144.23</v>
      </c>
    </row>
    <row r="20" spans="2:7" ht="12.75">
      <c r="B20" t="s">
        <v>50</v>
      </c>
      <c r="F20" s="326"/>
      <c r="G20" s="326">
        <v>2433316.37</v>
      </c>
    </row>
    <row r="21" spans="2:7" ht="12.75">
      <c r="B21" t="s">
        <v>224</v>
      </c>
      <c r="F21" s="326"/>
      <c r="G21" s="485">
        <v>2304787.92</v>
      </c>
    </row>
    <row r="22" spans="6:7" ht="12.75">
      <c r="F22" s="326"/>
      <c r="G22" s="326"/>
    </row>
    <row r="23" spans="1:7" ht="12.75">
      <c r="A23" s="328" t="s">
        <v>892</v>
      </c>
      <c r="B23" s="328"/>
      <c r="C23" s="328"/>
      <c r="D23" s="328"/>
      <c r="E23" s="328"/>
      <c r="F23" s="486"/>
      <c r="G23" s="486">
        <f>SUM(G19:G22)</f>
        <v>4917248.52</v>
      </c>
    </row>
    <row r="24" spans="6:7" ht="12.75">
      <c r="F24" s="326"/>
      <c r="G24" s="326"/>
    </row>
    <row r="25" spans="1:7" ht="12.75">
      <c r="A25" s="483" t="s">
        <v>893</v>
      </c>
      <c r="B25" s="483"/>
      <c r="C25" s="483"/>
      <c r="D25" s="483"/>
      <c r="F25" s="484"/>
      <c r="G25" s="484">
        <v>90321.11</v>
      </c>
    </row>
    <row r="26" spans="6:7" ht="12.75">
      <c r="F26" s="326"/>
      <c r="G26" s="326"/>
    </row>
    <row r="27" spans="1:7" ht="12.75">
      <c r="A27" s="328" t="s">
        <v>341</v>
      </c>
      <c r="B27" s="328"/>
      <c r="F27" s="484"/>
      <c r="G27" s="484">
        <f>SUM(G16+G23+G25)</f>
        <v>5935553.59</v>
      </c>
    </row>
    <row r="28" spans="6:7" ht="12.75">
      <c r="F28" s="326"/>
      <c r="G28" s="326"/>
    </row>
    <row r="29" spans="6:7" ht="12.75">
      <c r="F29" s="326"/>
      <c r="G29" s="326"/>
    </row>
    <row r="30" spans="1:7" ht="12.75">
      <c r="A30" s="483" t="s">
        <v>1626</v>
      </c>
      <c r="F30" s="326"/>
      <c r="G30" s="326"/>
    </row>
    <row r="31" spans="1:7" ht="12.75">
      <c r="A31" s="483" t="s">
        <v>1059</v>
      </c>
      <c r="B31" s="483"/>
      <c r="F31" s="326"/>
      <c r="G31" s="326"/>
    </row>
    <row r="32" spans="2:7" ht="12.75">
      <c r="B32" t="s">
        <v>232</v>
      </c>
      <c r="F32" s="326"/>
      <c r="G32" s="326">
        <v>16100000</v>
      </c>
    </row>
    <row r="33" spans="2:7" ht="12.75">
      <c r="B33" t="s">
        <v>233</v>
      </c>
      <c r="F33" s="326"/>
      <c r="G33" s="326">
        <v>4500000</v>
      </c>
    </row>
    <row r="34" spans="2:7" ht="12.75">
      <c r="B34" t="s">
        <v>894</v>
      </c>
      <c r="F34" s="326"/>
      <c r="G34" s="326">
        <v>-15284648.24</v>
      </c>
    </row>
    <row r="35" spans="2:7" ht="12.75">
      <c r="B35" t="s">
        <v>895</v>
      </c>
      <c r="F35" s="326"/>
      <c r="G35" s="326">
        <v>193116.47</v>
      </c>
    </row>
    <row r="36" spans="6:7" ht="12.75">
      <c r="F36" s="326"/>
      <c r="G36" s="326"/>
    </row>
    <row r="37" spans="1:7" ht="12.75">
      <c r="A37" s="328" t="s">
        <v>896</v>
      </c>
      <c r="B37" s="328"/>
      <c r="C37" s="328"/>
      <c r="D37" s="328"/>
      <c r="E37" s="328"/>
      <c r="F37" s="484"/>
      <c r="G37" s="484">
        <f>SUM(G32:G36)</f>
        <v>5508468.2299999995</v>
      </c>
    </row>
    <row r="38" spans="6:7" ht="12.75">
      <c r="F38" s="326"/>
      <c r="G38" s="326"/>
    </row>
    <row r="39" spans="1:7" ht="12.75">
      <c r="A39" s="483" t="s">
        <v>897</v>
      </c>
      <c r="F39" s="326"/>
      <c r="G39" s="326"/>
    </row>
    <row r="40" spans="2:7" ht="12.75">
      <c r="B40" t="s">
        <v>239</v>
      </c>
      <c r="F40" s="487"/>
      <c r="G40" s="487">
        <v>318624.91</v>
      </c>
    </row>
    <row r="41" spans="6:7" ht="12.75">
      <c r="F41" s="326"/>
      <c r="G41" s="326"/>
    </row>
    <row r="42" spans="2:7" ht="12.75">
      <c r="B42" s="483" t="s">
        <v>1032</v>
      </c>
      <c r="C42" s="483"/>
      <c r="F42" s="487"/>
      <c r="G42" s="487">
        <v>0</v>
      </c>
    </row>
    <row r="43" spans="6:7" ht="12.75">
      <c r="F43" s="326"/>
      <c r="G43" s="326"/>
    </row>
    <row r="44" spans="2:7" ht="12.75">
      <c r="B44" t="s">
        <v>898</v>
      </c>
      <c r="F44" s="306"/>
      <c r="G44" s="306">
        <v>108460.45</v>
      </c>
    </row>
    <row r="45" spans="2:7" ht="12.75">
      <c r="B45" t="s">
        <v>899</v>
      </c>
      <c r="F45" s="487"/>
      <c r="G45" s="487"/>
    </row>
    <row r="48" spans="1:7" ht="12.75">
      <c r="A48" s="328" t="s">
        <v>385</v>
      </c>
      <c r="B48" s="328"/>
      <c r="C48" s="328"/>
      <c r="D48" s="328"/>
      <c r="E48" s="328"/>
      <c r="F48" s="484"/>
      <c r="G48" s="484">
        <f>SUM(G37+G40+G42+G44)</f>
        <v>5935553.59</v>
      </c>
    </row>
    <row r="52" spans="1:7" ht="12.75">
      <c r="A52" s="328" t="s">
        <v>888</v>
      </c>
      <c r="B52" s="328"/>
      <c r="C52" s="328"/>
      <c r="D52" s="328"/>
      <c r="E52" s="328"/>
      <c r="F52" s="328"/>
      <c r="G52" s="328"/>
    </row>
    <row r="53" spans="1:7" ht="12.75">
      <c r="A53" s="328" t="s">
        <v>1188</v>
      </c>
      <c r="B53" s="328"/>
      <c r="C53" s="328"/>
      <c r="D53" s="328"/>
      <c r="E53" s="328"/>
      <c r="F53" s="328"/>
      <c r="G53" s="328"/>
    </row>
    <row r="54" spans="1:7" ht="12.75">
      <c r="A54" s="481" t="s">
        <v>889</v>
      </c>
      <c r="B54" s="481"/>
      <c r="C54" s="481"/>
      <c r="D54" s="481"/>
      <c r="E54" s="481"/>
      <c r="F54" s="481"/>
      <c r="G54" s="481"/>
    </row>
    <row r="56" spans="5:6" ht="12.75">
      <c r="E56" s="483" t="s">
        <v>900</v>
      </c>
      <c r="F56" s="483"/>
    </row>
    <row r="59" spans="6:7" ht="12.75">
      <c r="F59" s="328" t="s">
        <v>901</v>
      </c>
      <c r="G59" s="328"/>
    </row>
    <row r="60" spans="6:7" ht="12.75">
      <c r="F60" s="328" t="s">
        <v>902</v>
      </c>
      <c r="G60" s="328"/>
    </row>
    <row r="61" spans="6:7" ht="12.75">
      <c r="F61" s="328" t="s">
        <v>903</v>
      </c>
      <c r="G61" s="328"/>
    </row>
    <row r="63" spans="1:7" ht="12.75">
      <c r="A63" s="328" t="s">
        <v>904</v>
      </c>
      <c r="B63" s="328"/>
      <c r="C63" s="328"/>
      <c r="D63" s="328"/>
      <c r="E63" s="328"/>
      <c r="F63" s="484">
        <v>2732616.06</v>
      </c>
      <c r="G63" s="487"/>
    </row>
    <row r="64" spans="6:7" ht="12.75">
      <c r="F64" s="326"/>
      <c r="G64" s="326"/>
    </row>
    <row r="65" spans="1:7" ht="12.75">
      <c r="A65" s="328" t="s">
        <v>905</v>
      </c>
      <c r="B65" s="328"/>
      <c r="C65" s="328"/>
      <c r="D65" s="328"/>
      <c r="E65" s="328"/>
      <c r="F65" s="486">
        <v>2750488.68</v>
      </c>
      <c r="G65" s="486"/>
    </row>
    <row r="66" spans="6:7" ht="12.75">
      <c r="F66" s="326"/>
      <c r="G66" s="326"/>
    </row>
    <row r="67" spans="1:7" ht="12.75">
      <c r="A67" t="s">
        <v>577</v>
      </c>
      <c r="F67" s="326">
        <v>34127.99</v>
      </c>
      <c r="G67" s="326"/>
    </row>
    <row r="68" spans="1:7" ht="12.75">
      <c r="A68" t="s">
        <v>104</v>
      </c>
      <c r="F68" s="326">
        <v>1440271.15</v>
      </c>
      <c r="G68" s="326"/>
    </row>
    <row r="69" spans="1:7" ht="12.75">
      <c r="A69" t="s">
        <v>105</v>
      </c>
      <c r="F69" s="326">
        <v>60239.58</v>
      </c>
      <c r="G69" s="326"/>
    </row>
    <row r="70" spans="1:7" ht="12.75">
      <c r="A70" t="s">
        <v>580</v>
      </c>
      <c r="F70" s="326">
        <v>810654.36</v>
      </c>
      <c r="G70" s="326"/>
    </row>
    <row r="71" spans="1:7" ht="12.75">
      <c r="A71" t="s">
        <v>163</v>
      </c>
      <c r="F71" s="326">
        <v>157547.07</v>
      </c>
      <c r="G71" s="326"/>
    </row>
    <row r="72" spans="1:7" ht="12.75">
      <c r="A72" t="s">
        <v>582</v>
      </c>
      <c r="F72" s="326">
        <v>121200.4</v>
      </c>
      <c r="G72" s="326"/>
    </row>
    <row r="73" spans="1:7" ht="12.75">
      <c r="A73" t="s">
        <v>906</v>
      </c>
      <c r="F73" s="487">
        <v>126448.13</v>
      </c>
      <c r="G73" s="487"/>
    </row>
    <row r="74" spans="6:7" ht="12.75">
      <c r="F74" s="326"/>
      <c r="G74" s="326"/>
    </row>
    <row r="75" spans="1:7" ht="12.75">
      <c r="A75" s="328" t="s">
        <v>907</v>
      </c>
      <c r="B75" s="328"/>
      <c r="C75" s="328"/>
      <c r="D75" s="328"/>
      <c r="F75" s="486">
        <f>SUM(F63-F65)</f>
        <v>-17872.62000000011</v>
      </c>
      <c r="G75" s="486"/>
    </row>
    <row r="76" spans="6:7" ht="12.75">
      <c r="F76" s="326"/>
      <c r="G76" s="326"/>
    </row>
    <row r="77" spans="1:7" ht="12.75">
      <c r="A77" t="s">
        <v>68</v>
      </c>
      <c r="F77" s="326">
        <v>2427.13</v>
      </c>
      <c r="G77" s="326"/>
    </row>
    <row r="78" spans="1:7" ht="12.75">
      <c r="A78" t="s">
        <v>588</v>
      </c>
      <c r="F78" s="487">
        <v>0</v>
      </c>
      <c r="G78" s="487"/>
    </row>
    <row r="79" spans="6:7" ht="12.75">
      <c r="F79" s="326"/>
      <c r="G79" s="326"/>
    </row>
    <row r="80" spans="1:7" ht="12.75">
      <c r="A80" s="328" t="s">
        <v>908</v>
      </c>
      <c r="B80" s="328"/>
      <c r="C80" s="328"/>
      <c r="D80" s="328"/>
      <c r="E80" s="328"/>
      <c r="F80" s="486">
        <f>F75+F77-F78</f>
        <v>-15445.49000000011</v>
      </c>
      <c r="G80" s="486"/>
    </row>
    <row r="81" spans="6:7" ht="12.75">
      <c r="F81" s="326"/>
      <c r="G81" s="326"/>
    </row>
    <row r="82" spans="1:7" ht="12.75">
      <c r="A82" t="s">
        <v>1675</v>
      </c>
      <c r="F82" s="326">
        <v>208561.96</v>
      </c>
      <c r="G82" s="326"/>
    </row>
    <row r="83" spans="1:7" ht="12.75">
      <c r="A83" t="s">
        <v>594</v>
      </c>
      <c r="F83" s="326">
        <v>0</v>
      </c>
      <c r="G83" s="326"/>
    </row>
    <row r="84" spans="1:7" ht="12.75">
      <c r="A84" t="s">
        <v>72</v>
      </c>
      <c r="F84" s="326">
        <v>0</v>
      </c>
      <c r="G84" s="326"/>
    </row>
    <row r="85" spans="1:7" ht="12.75">
      <c r="A85" t="s">
        <v>95</v>
      </c>
      <c r="F85" s="487">
        <v>0</v>
      </c>
      <c r="G85" s="487"/>
    </row>
    <row r="86" spans="6:7" ht="12.75">
      <c r="F86" s="326"/>
      <c r="G86" s="326"/>
    </row>
    <row r="87" spans="1:7" ht="12.75">
      <c r="A87" s="328" t="s">
        <v>881</v>
      </c>
      <c r="F87" s="486">
        <f>F80+F82-F83+F84-F85</f>
        <v>193116.46999999988</v>
      </c>
      <c r="G87" s="486"/>
    </row>
    <row r="88" spans="1:7" ht="12.75">
      <c r="A88" t="s">
        <v>1481</v>
      </c>
      <c r="F88" s="488" t="s">
        <v>909</v>
      </c>
      <c r="G88" s="488"/>
    </row>
    <row r="89" spans="1:7" ht="12.75">
      <c r="A89" s="328" t="s">
        <v>910</v>
      </c>
      <c r="F89" s="484">
        <f>F87</f>
        <v>193116.46999999988</v>
      </c>
      <c r="G89" s="484"/>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O157"/>
  <sheetViews>
    <sheetView workbookViewId="0" topLeftCell="A1">
      <selection activeCell="C3" sqref="C3"/>
    </sheetView>
  </sheetViews>
  <sheetFormatPr defaultColWidth="9.140625" defaultRowHeight="12.75"/>
  <cols>
    <col min="1" max="1" width="44.7109375" style="0" customWidth="1"/>
    <col min="2" max="2" width="16.7109375" style="0" customWidth="1"/>
    <col min="3" max="3" width="37.7109375" style="0" customWidth="1"/>
    <col min="4" max="4" width="16.7109375" style="0" customWidth="1"/>
  </cols>
  <sheetData>
    <row r="1" spans="1:4" ht="18">
      <c r="A1" s="378" t="s">
        <v>1529</v>
      </c>
      <c r="B1" s="379"/>
      <c r="C1" s="379"/>
      <c r="D1" s="380"/>
    </row>
    <row r="2" spans="1:4" ht="12.75">
      <c r="A2" s="491" t="s">
        <v>506</v>
      </c>
      <c r="B2" s="381" t="s">
        <v>1531</v>
      </c>
      <c r="C2" s="379"/>
      <c r="D2" s="380"/>
    </row>
    <row r="3" spans="1:4" ht="13.5" thickBot="1">
      <c r="A3" s="381" t="s">
        <v>1530</v>
      </c>
      <c r="B3" s="382"/>
      <c r="C3" s="382"/>
      <c r="D3" s="383"/>
    </row>
    <row r="4" spans="1:4" ht="12.75">
      <c r="A4" s="384" t="s">
        <v>1532</v>
      </c>
      <c r="B4" s="385" t="s">
        <v>1531</v>
      </c>
      <c r="C4" s="386" t="s">
        <v>1626</v>
      </c>
      <c r="D4" s="387" t="s">
        <v>1531</v>
      </c>
    </row>
    <row r="5" spans="1:4" ht="12.75">
      <c r="A5" s="388" t="s">
        <v>50</v>
      </c>
      <c r="B5" s="352">
        <f>SUM(B6:B8)</f>
        <v>2676024.56</v>
      </c>
      <c r="C5" s="389" t="s">
        <v>51</v>
      </c>
      <c r="D5" s="390">
        <f>SUM(D6:D26)-D8-D16</f>
        <v>141469.26</v>
      </c>
    </row>
    <row r="6" spans="1:4" ht="12.75">
      <c r="A6" s="391" t="s">
        <v>52</v>
      </c>
      <c r="B6" s="352">
        <v>0</v>
      </c>
      <c r="C6" s="392" t="s">
        <v>53</v>
      </c>
      <c r="D6" s="390">
        <v>0</v>
      </c>
    </row>
    <row r="7" spans="1:4" ht="12.75">
      <c r="A7" s="393" t="s">
        <v>54</v>
      </c>
      <c r="B7" s="352">
        <f>SUM('[1]do bilansu 30,06,01'!B48)</f>
        <v>2676024.56</v>
      </c>
      <c r="C7" s="392" t="s">
        <v>55</v>
      </c>
      <c r="D7" s="390">
        <v>0</v>
      </c>
    </row>
    <row r="8" spans="1:4" ht="19.5">
      <c r="A8" s="393" t="s">
        <v>559</v>
      </c>
      <c r="B8" s="352">
        <f>SUM('[1]do bilansu 30,06,01'!B53)</f>
        <v>0</v>
      </c>
      <c r="C8" s="392" t="s">
        <v>1533</v>
      </c>
      <c r="D8" s="390">
        <f>SUM(D9:D10)</f>
        <v>0</v>
      </c>
    </row>
    <row r="9" spans="1:4" ht="12.75">
      <c r="A9" s="388" t="s">
        <v>57</v>
      </c>
      <c r="B9" s="352">
        <f>SUM(B10:B23)-B12</f>
        <v>40859.73</v>
      </c>
      <c r="C9" s="392" t="s">
        <v>1534</v>
      </c>
      <c r="D9" s="390">
        <v>0</v>
      </c>
    </row>
    <row r="10" spans="1:4" ht="12.75">
      <c r="A10" s="392" t="s">
        <v>59</v>
      </c>
      <c r="B10" s="352">
        <f>'[1]do bilansu 30,06,01'!B60</f>
        <v>40710.83</v>
      </c>
      <c r="C10" s="392" t="s">
        <v>1104</v>
      </c>
      <c r="D10" s="390">
        <v>0</v>
      </c>
    </row>
    <row r="11" spans="1:4" ht="19.5">
      <c r="A11" s="392" t="s">
        <v>1009</v>
      </c>
      <c r="B11" s="352">
        <v>0</v>
      </c>
      <c r="C11" s="394" t="s">
        <v>1535</v>
      </c>
      <c r="D11" s="390">
        <v>0</v>
      </c>
    </row>
    <row r="12" spans="1:4" ht="12.75">
      <c r="A12" s="392" t="s">
        <v>1536</v>
      </c>
      <c r="B12" s="352">
        <f>SUM(B13:B14)</f>
        <v>0</v>
      </c>
      <c r="C12" s="392" t="s">
        <v>1537</v>
      </c>
      <c r="D12" s="390">
        <v>0</v>
      </c>
    </row>
    <row r="13" spans="1:4" ht="12.75">
      <c r="A13" s="392" t="s">
        <v>1534</v>
      </c>
      <c r="B13" s="352">
        <v>0</v>
      </c>
      <c r="C13" s="392" t="s">
        <v>1013</v>
      </c>
      <c r="D13" s="390">
        <v>0</v>
      </c>
    </row>
    <row r="14" spans="1:4" ht="19.5">
      <c r="A14" s="392" t="s">
        <v>1104</v>
      </c>
      <c r="B14" s="352">
        <v>0</v>
      </c>
      <c r="C14" s="392" t="s">
        <v>1014</v>
      </c>
      <c r="D14" s="390">
        <v>0</v>
      </c>
    </row>
    <row r="15" spans="1:4" ht="19.5">
      <c r="A15" s="392" t="s">
        <v>1015</v>
      </c>
      <c r="B15" s="352">
        <v>0</v>
      </c>
      <c r="C15" s="392" t="s">
        <v>1016</v>
      </c>
      <c r="D15" s="390">
        <v>0</v>
      </c>
    </row>
    <row r="16" spans="1:4" ht="12.75">
      <c r="A16" s="392" t="s">
        <v>1538</v>
      </c>
      <c r="B16" s="352">
        <v>0</v>
      </c>
      <c r="C16" s="392" t="s">
        <v>1539</v>
      </c>
      <c r="D16" s="390">
        <f>SUM(D17:D18)</f>
        <v>0</v>
      </c>
    </row>
    <row r="17" spans="1:4" ht="19.5">
      <c r="A17" s="392" t="s">
        <v>1540</v>
      </c>
      <c r="B17" s="352">
        <v>0</v>
      </c>
      <c r="C17" s="392" t="s">
        <v>1541</v>
      </c>
      <c r="D17" s="390">
        <v>0</v>
      </c>
    </row>
    <row r="18" spans="1:4" ht="12.75">
      <c r="A18" s="392" t="s">
        <v>1542</v>
      </c>
      <c r="B18" s="352">
        <v>0</v>
      </c>
      <c r="C18" s="392" t="s">
        <v>1104</v>
      </c>
      <c r="D18" s="390">
        <v>0</v>
      </c>
    </row>
    <row r="19" spans="1:4" ht="12.75">
      <c r="A19" s="392" t="s">
        <v>1022</v>
      </c>
      <c r="B19" s="352">
        <v>0</v>
      </c>
      <c r="C19" s="392" t="s">
        <v>1023</v>
      </c>
      <c r="D19" s="390">
        <v>0</v>
      </c>
    </row>
    <row r="20" spans="1:4" ht="12.75">
      <c r="A20" s="392" t="s">
        <v>1024</v>
      </c>
      <c r="B20" s="352">
        <f>SUM('[1]do bilansu 30,06,01'!B57)</f>
        <v>0</v>
      </c>
      <c r="C20" s="392" t="s">
        <v>546</v>
      </c>
      <c r="D20" s="390">
        <v>0</v>
      </c>
    </row>
    <row r="21" spans="1:4" ht="19.5">
      <c r="A21" s="392" t="s">
        <v>545</v>
      </c>
      <c r="B21" s="352">
        <f>'[1]do bilansu 30,06,01'!B64</f>
        <v>148.9</v>
      </c>
      <c r="C21" s="392" t="s">
        <v>1025</v>
      </c>
      <c r="D21" s="390">
        <f>SUM('[1]do bilansu 30,06,01'!E52)</f>
        <v>94026.37</v>
      </c>
    </row>
    <row r="22" spans="1:4" ht="12.75">
      <c r="A22" s="392" t="s">
        <v>1026</v>
      </c>
      <c r="B22" s="352">
        <v>0</v>
      </c>
      <c r="C22" s="392" t="s">
        <v>550</v>
      </c>
      <c r="D22" s="390">
        <v>0</v>
      </c>
    </row>
    <row r="23" spans="1:4" ht="29.25">
      <c r="A23" s="392" t="s">
        <v>1543</v>
      </c>
      <c r="B23" s="352">
        <v>0</v>
      </c>
      <c r="C23" s="392" t="s">
        <v>1544</v>
      </c>
      <c r="D23" s="390">
        <v>0</v>
      </c>
    </row>
    <row r="24" spans="1:4" ht="29.25">
      <c r="A24" s="389" t="s">
        <v>1029</v>
      </c>
      <c r="B24" s="352">
        <v>0</v>
      </c>
      <c r="C24" s="392" t="s">
        <v>1030</v>
      </c>
      <c r="D24" s="390">
        <v>0</v>
      </c>
    </row>
    <row r="25" spans="1:4" ht="12.75">
      <c r="A25" s="389" t="s">
        <v>1031</v>
      </c>
      <c r="B25" s="352">
        <f>SUM(B26:B31)</f>
        <v>0</v>
      </c>
      <c r="C25" s="392" t="s">
        <v>1032</v>
      </c>
      <c r="D25" s="390">
        <f>SUM('[1]do bilansu 30,06,01'!E56)</f>
        <v>18475.75</v>
      </c>
    </row>
    <row r="26" spans="1:4" ht="12.75">
      <c r="A26" s="392" t="s">
        <v>1033</v>
      </c>
      <c r="B26" s="352">
        <v>0</v>
      </c>
      <c r="C26" s="392" t="s">
        <v>1034</v>
      </c>
      <c r="D26" s="390">
        <f>SUM('[1]do bilansu 30,06,01'!E66)</f>
        <v>28967.14</v>
      </c>
    </row>
    <row r="27" spans="1:4" ht="12.75">
      <c r="A27" s="392" t="s">
        <v>1023</v>
      </c>
      <c r="B27" s="352">
        <v>0</v>
      </c>
      <c r="C27" s="389" t="s">
        <v>1035</v>
      </c>
      <c r="D27" s="390">
        <f>SUM(D28+D31+D34+D36+D39+D35)</f>
        <v>0</v>
      </c>
    </row>
    <row r="28" spans="1:4" ht="12.75">
      <c r="A28" s="392" t="s">
        <v>1036</v>
      </c>
      <c r="B28" s="352">
        <v>0</v>
      </c>
      <c r="C28" s="392" t="s">
        <v>540</v>
      </c>
      <c r="D28" s="390">
        <f>SUM(D29:D30)</f>
        <v>0</v>
      </c>
    </row>
    <row r="29" spans="1:4" ht="12.75">
      <c r="A29" s="392" t="s">
        <v>1038</v>
      </c>
      <c r="B29" s="352">
        <v>0</v>
      </c>
      <c r="C29" s="392" t="s">
        <v>1545</v>
      </c>
      <c r="D29" s="390">
        <v>0</v>
      </c>
    </row>
    <row r="30" spans="1:4" ht="12.75">
      <c r="A30" s="392" t="s">
        <v>1039</v>
      </c>
      <c r="B30" s="352">
        <v>0</v>
      </c>
      <c r="C30" s="392" t="s">
        <v>1104</v>
      </c>
      <c r="D30" s="390">
        <v>0</v>
      </c>
    </row>
    <row r="31" spans="1:4" ht="12.75">
      <c r="A31" s="392" t="s">
        <v>1051</v>
      </c>
      <c r="B31" s="352">
        <v>0</v>
      </c>
      <c r="C31" s="392" t="s">
        <v>1443</v>
      </c>
      <c r="D31" s="390">
        <f>SUM(D32:D33)</f>
        <v>0</v>
      </c>
    </row>
    <row r="32" spans="1:4" ht="12.75">
      <c r="A32" s="388" t="s">
        <v>1546</v>
      </c>
      <c r="B32" s="352">
        <f>SUM(B33:B41)-B33</f>
        <v>7964898.48</v>
      </c>
      <c r="C32" s="392" t="s">
        <v>1545</v>
      </c>
      <c r="D32" s="390">
        <v>0</v>
      </c>
    </row>
    <row r="33" spans="1:4" ht="12.75">
      <c r="A33" s="395" t="s">
        <v>511</v>
      </c>
      <c r="B33" s="352">
        <f>SUM(B34:B36)</f>
        <v>2000000</v>
      </c>
      <c r="C33" s="392" t="s">
        <v>1104</v>
      </c>
      <c r="D33" s="390">
        <v>0</v>
      </c>
    </row>
    <row r="34" spans="1:4" ht="12.75">
      <c r="A34" s="395" t="s">
        <v>1547</v>
      </c>
      <c r="B34" s="352">
        <v>0</v>
      </c>
      <c r="C34" s="392" t="s">
        <v>1023</v>
      </c>
      <c r="D34" s="390">
        <v>0</v>
      </c>
    </row>
    <row r="35" spans="1:4" ht="19.5">
      <c r="A35" s="391" t="s">
        <v>1548</v>
      </c>
      <c r="B35" s="352">
        <f>SUM('[1]do bilansu 30,06,01'!B69)</f>
        <v>2000000</v>
      </c>
      <c r="C35" s="392" t="s">
        <v>1046</v>
      </c>
      <c r="D35" s="390">
        <v>0</v>
      </c>
    </row>
    <row r="36" spans="1:4" ht="12.75">
      <c r="A36" s="391" t="s">
        <v>1549</v>
      </c>
      <c r="B36" s="352">
        <f>SUM('[1]do bilansu 30,06,01'!B70)</f>
        <v>0</v>
      </c>
      <c r="C36" s="392" t="s">
        <v>1550</v>
      </c>
      <c r="D36" s="390">
        <f>SUM(D37:D38)</f>
        <v>0</v>
      </c>
    </row>
    <row r="37" spans="1:4" ht="12.75">
      <c r="A37" s="395" t="s">
        <v>1023</v>
      </c>
      <c r="B37" s="352">
        <f>SUM('[1]do bilansu 30,06,01'!B74)</f>
        <v>1964898.48</v>
      </c>
      <c r="C37" s="392" t="s">
        <v>1545</v>
      </c>
      <c r="D37" s="390">
        <v>0</v>
      </c>
    </row>
    <row r="38" spans="1:4" ht="12.75">
      <c r="A38" s="391" t="s">
        <v>1049</v>
      </c>
      <c r="B38" s="352">
        <f>SUM('[1]do bilansu 30,06,01'!B78)</f>
        <v>4000000</v>
      </c>
      <c r="C38" s="392" t="s">
        <v>1104</v>
      </c>
      <c r="D38" s="390">
        <v>0</v>
      </c>
    </row>
    <row r="39" spans="1:4" ht="12.75">
      <c r="A39" s="391" t="s">
        <v>1036</v>
      </c>
      <c r="B39" s="352">
        <v>0</v>
      </c>
      <c r="C39" s="396" t="s">
        <v>1551</v>
      </c>
      <c r="D39" s="390">
        <v>0</v>
      </c>
    </row>
    <row r="40" spans="1:4" ht="18">
      <c r="A40" s="395" t="s">
        <v>1039</v>
      </c>
      <c r="B40" s="352">
        <v>0</v>
      </c>
      <c r="C40" s="389" t="s">
        <v>1050</v>
      </c>
      <c r="D40" s="390">
        <f>SUM(D41:D42)</f>
        <v>0</v>
      </c>
    </row>
    <row r="41" spans="1:4" ht="12.75">
      <c r="A41" s="395" t="s">
        <v>1051</v>
      </c>
      <c r="B41" s="352">
        <v>0</v>
      </c>
      <c r="C41" s="392" t="s">
        <v>564</v>
      </c>
      <c r="D41" s="352">
        <f>SUM('[1]do bilansu 30,06,01'!E74)</f>
        <v>0</v>
      </c>
    </row>
    <row r="42" spans="1:4" ht="12.75">
      <c r="A42" s="397" t="s">
        <v>520</v>
      </c>
      <c r="B42" s="352">
        <v>0</v>
      </c>
      <c r="C42" s="392" t="s">
        <v>566</v>
      </c>
      <c r="D42" s="390">
        <v>0</v>
      </c>
    </row>
    <row r="43" spans="1:4" ht="12.75">
      <c r="A43" s="397" t="s">
        <v>515</v>
      </c>
      <c r="B43" s="352">
        <f>SUM(B44:B45)</f>
        <v>0</v>
      </c>
      <c r="C43" s="398" t="s">
        <v>86</v>
      </c>
      <c r="D43" s="390">
        <f>SUM(D44:D45)</f>
        <v>0</v>
      </c>
    </row>
    <row r="44" spans="1:4" ht="12.75">
      <c r="A44" s="391" t="s">
        <v>1552</v>
      </c>
      <c r="B44" s="352">
        <v>0</v>
      </c>
      <c r="C44" s="392" t="s">
        <v>1054</v>
      </c>
      <c r="D44" s="390">
        <v>0</v>
      </c>
    </row>
    <row r="45" spans="1:4" ht="12.75">
      <c r="A45" s="391" t="s">
        <v>1553</v>
      </c>
      <c r="B45" s="352">
        <v>0</v>
      </c>
      <c r="C45" s="392" t="s">
        <v>83</v>
      </c>
      <c r="D45" s="390">
        <v>0</v>
      </c>
    </row>
    <row r="46" spans="1:4" ht="12.75">
      <c r="A46" s="399" t="s">
        <v>1194</v>
      </c>
      <c r="B46" s="352">
        <f>SUM(B47:B51)</f>
        <v>447935.29000000004</v>
      </c>
      <c r="C46" s="398" t="s">
        <v>1057</v>
      </c>
      <c r="D46" s="390">
        <v>0</v>
      </c>
    </row>
    <row r="47" spans="1:4" ht="19.5">
      <c r="A47" s="391" t="s">
        <v>1554</v>
      </c>
      <c r="B47" s="352">
        <f>SUM('[1]do bilansu 30,06,01'!B85)</f>
        <v>50301.44</v>
      </c>
      <c r="C47" s="399" t="s">
        <v>1059</v>
      </c>
      <c r="D47" s="390">
        <f>SUM(D48+D49+D50+D56+D57+D59+D62+D58)</f>
        <v>11724145.38</v>
      </c>
    </row>
    <row r="48" spans="1:4" ht="12.75">
      <c r="A48" s="395" t="s">
        <v>1058</v>
      </c>
      <c r="B48" s="352">
        <v>0</v>
      </c>
      <c r="C48" s="395" t="s">
        <v>1061</v>
      </c>
      <c r="D48" s="352">
        <f>SUM('[1]do bilansu 30,06,01'!E78)</f>
        <v>15500000</v>
      </c>
    </row>
    <row r="49" spans="1:4" ht="19.5">
      <c r="A49" s="391" t="s">
        <v>1555</v>
      </c>
      <c r="B49" s="352">
        <f>SUM('[1]do bilansu 30,06,01'!B90)</f>
        <v>397633.85000000003</v>
      </c>
      <c r="C49" s="391" t="s">
        <v>1556</v>
      </c>
      <c r="D49" s="390">
        <v>0</v>
      </c>
    </row>
    <row r="50" spans="1:4" ht="12.75">
      <c r="A50" s="391" t="s">
        <v>1204</v>
      </c>
      <c r="B50" s="352">
        <v>0</v>
      </c>
      <c r="C50" s="395" t="s">
        <v>1557</v>
      </c>
      <c r="D50" s="390">
        <f>SUM(D51:D55)</f>
        <v>367138.65</v>
      </c>
    </row>
    <row r="51" spans="1:4" ht="12.75">
      <c r="A51" s="391" t="s">
        <v>1558</v>
      </c>
      <c r="B51" s="352">
        <v>0</v>
      </c>
      <c r="C51" s="391" t="s">
        <v>1559</v>
      </c>
      <c r="D51" s="390">
        <v>0</v>
      </c>
    </row>
    <row r="52" spans="1:4" ht="12.75">
      <c r="A52" s="397" t="s">
        <v>1560</v>
      </c>
      <c r="B52" s="352">
        <f>SUM(B53:B59)-B53</f>
        <v>551301.48</v>
      </c>
      <c r="C52" s="395" t="s">
        <v>1561</v>
      </c>
      <c r="D52" s="390">
        <v>0</v>
      </c>
    </row>
    <row r="53" spans="1:4" ht="12.75">
      <c r="A53" s="395" t="s">
        <v>1562</v>
      </c>
      <c r="B53" s="352">
        <f>SUM(B54:B57)</f>
        <v>551301.48</v>
      </c>
      <c r="C53" s="395" t="s">
        <v>1563</v>
      </c>
      <c r="D53" s="390">
        <v>0</v>
      </c>
    </row>
    <row r="54" spans="1:4" ht="12.75">
      <c r="A54" s="395" t="s">
        <v>1564</v>
      </c>
      <c r="B54" s="352">
        <v>0</v>
      </c>
      <c r="C54" s="395" t="s">
        <v>1565</v>
      </c>
      <c r="D54" s="390">
        <v>0</v>
      </c>
    </row>
    <row r="55" spans="1:4" ht="12.75">
      <c r="A55" s="395" t="s">
        <v>1566</v>
      </c>
      <c r="B55" s="352">
        <v>0</v>
      </c>
      <c r="C55" s="395" t="s">
        <v>1567</v>
      </c>
      <c r="D55" s="352">
        <f>SUM('[1]do bilansu 30,06,01'!E82)</f>
        <v>367138.65</v>
      </c>
    </row>
    <row r="56" spans="1:4" ht="12.75">
      <c r="A56" s="395" t="s">
        <v>1568</v>
      </c>
      <c r="B56" s="352">
        <f>SUM('[1]do bilansu 30,06,01'!B95)</f>
        <v>155463.04000000004</v>
      </c>
      <c r="C56" s="391" t="s">
        <v>1569</v>
      </c>
      <c r="D56" s="390">
        <v>0</v>
      </c>
    </row>
    <row r="57" spans="1:4" ht="12.75">
      <c r="A57" s="395" t="s">
        <v>1570</v>
      </c>
      <c r="B57" s="352">
        <f>SUM('[1]do bilansu 30,06,01'!B100)</f>
        <v>395838.43999999994</v>
      </c>
      <c r="C57" s="395" t="s">
        <v>1079</v>
      </c>
      <c r="D57" s="390">
        <v>0</v>
      </c>
    </row>
    <row r="58" spans="1:4" ht="12.75">
      <c r="A58" s="395" t="s">
        <v>1223</v>
      </c>
      <c r="B58" s="352">
        <v>0</v>
      </c>
      <c r="C58" s="391" t="s">
        <v>1080</v>
      </c>
      <c r="D58" s="390">
        <v>0</v>
      </c>
    </row>
    <row r="59" spans="1:4" ht="12.75">
      <c r="A59" s="395" t="s">
        <v>1571</v>
      </c>
      <c r="B59" s="352">
        <v>0</v>
      </c>
      <c r="C59" s="391" t="s">
        <v>1572</v>
      </c>
      <c r="D59" s="390">
        <f>SUM(D60:D61)</f>
        <v>-1664098.69</v>
      </c>
    </row>
    <row r="60" spans="1:4" ht="12.75">
      <c r="A60" s="400" t="s">
        <v>1083</v>
      </c>
      <c r="B60" s="401">
        <v>0</v>
      </c>
      <c r="C60" s="391" t="s">
        <v>1573</v>
      </c>
      <c r="D60" s="390">
        <f>SUM('[1]do bilansu 30,06,01'!E88)</f>
        <v>0</v>
      </c>
    </row>
    <row r="61" spans="1:4" ht="12.75">
      <c r="A61" s="397" t="s">
        <v>1425</v>
      </c>
      <c r="B61" s="352">
        <f>SUM(B62:B63)</f>
        <v>184595.1</v>
      </c>
      <c r="C61" s="391" t="s">
        <v>1574</v>
      </c>
      <c r="D61" s="390">
        <f>SUM('[1]do bilansu 30,06,01'!E87)</f>
        <v>-1664098.69</v>
      </c>
    </row>
    <row r="62" spans="1:4" ht="12.75">
      <c r="A62" s="391" t="s">
        <v>1575</v>
      </c>
      <c r="B62" s="352">
        <v>0</v>
      </c>
      <c r="C62" s="395" t="s">
        <v>1089</v>
      </c>
      <c r="D62" s="390">
        <f>SUM('[1]do bilansu 30,06,01'!E93)</f>
        <v>-2478894.58</v>
      </c>
    </row>
    <row r="63" spans="1:4" ht="12.75">
      <c r="A63" s="395" t="s">
        <v>1576</v>
      </c>
      <c r="B63" s="352">
        <f>SUM('[1]do bilansu 30,06,01'!B104)</f>
        <v>184595.1</v>
      </c>
      <c r="C63" s="400"/>
      <c r="D63" s="390"/>
    </row>
    <row r="64" spans="1:4" ht="13.5" thickBot="1">
      <c r="A64" s="402" t="s">
        <v>637</v>
      </c>
      <c r="B64" s="403">
        <f>SUM(B61,B60,B52,B46,B43,B42,B32,B25,B24,B9,B5)</f>
        <v>11865614.640000002</v>
      </c>
      <c r="C64" s="404" t="s">
        <v>1324</v>
      </c>
      <c r="D64" s="405">
        <f>SUM(D47+D46+D43+D40+D27+D5)</f>
        <v>11865614.64</v>
      </c>
    </row>
    <row r="65" spans="1:2" ht="12.75">
      <c r="A65" s="407"/>
      <c r="B65" s="408"/>
    </row>
    <row r="67" spans="1:15" ht="18">
      <c r="A67" s="501" t="s">
        <v>1577</v>
      </c>
      <c r="B67" s="501"/>
      <c r="C67" s="501"/>
      <c r="D67" s="501"/>
      <c r="E67" s="501"/>
      <c r="F67" s="501"/>
      <c r="G67" s="501"/>
      <c r="H67" s="501"/>
      <c r="I67" s="501"/>
      <c r="J67" s="501"/>
      <c r="K67" s="501"/>
      <c r="L67" s="502"/>
      <c r="M67" s="502"/>
      <c r="N67" s="502"/>
      <c r="O67" s="502"/>
    </row>
    <row r="69" spans="1:2" ht="25.5">
      <c r="A69" s="410" t="s">
        <v>638</v>
      </c>
      <c r="B69" s="234">
        <v>347124.95</v>
      </c>
    </row>
    <row r="70" spans="1:2" ht="12.75">
      <c r="A70" s="218" t="s">
        <v>639</v>
      </c>
      <c r="B70" s="234">
        <v>0</v>
      </c>
    </row>
    <row r="71" spans="1:2" ht="25.5">
      <c r="A71" s="218" t="s">
        <v>1098</v>
      </c>
      <c r="B71" s="234">
        <v>0</v>
      </c>
    </row>
    <row r="72" spans="1:2" ht="12.75">
      <c r="A72" s="218" t="s">
        <v>640</v>
      </c>
      <c r="B72" s="234">
        <v>0</v>
      </c>
    </row>
    <row r="73" spans="1:2" ht="38.25">
      <c r="A73" s="218" t="s">
        <v>641</v>
      </c>
      <c r="B73" s="234">
        <v>0</v>
      </c>
    </row>
    <row r="74" spans="1:2" ht="12.75">
      <c r="A74" s="218" t="s">
        <v>1104</v>
      </c>
      <c r="B74" s="234">
        <v>0</v>
      </c>
    </row>
    <row r="75" spans="1:2" ht="12.75">
      <c r="A75" s="411" t="s">
        <v>642</v>
      </c>
      <c r="B75" s="234">
        <v>347124.95</v>
      </c>
    </row>
    <row r="76" spans="1:2" ht="25.5">
      <c r="A76" s="218" t="s">
        <v>643</v>
      </c>
      <c r="B76" s="234">
        <v>0</v>
      </c>
    </row>
    <row r="77" spans="1:2" ht="12.75">
      <c r="A77" s="218" t="s">
        <v>644</v>
      </c>
      <c r="B77" s="234">
        <v>0</v>
      </c>
    </row>
    <row r="78" spans="1:2" ht="25.5">
      <c r="A78" s="218" t="s">
        <v>645</v>
      </c>
      <c r="B78" s="234">
        <v>0</v>
      </c>
    </row>
    <row r="79" spans="1:2" ht="25.5">
      <c r="A79" s="218" t="s">
        <v>646</v>
      </c>
      <c r="B79" s="234">
        <v>328074.95</v>
      </c>
    </row>
    <row r="80" spans="1:2" ht="25.5">
      <c r="A80" s="218" t="s">
        <v>647</v>
      </c>
      <c r="B80" s="234">
        <v>11050</v>
      </c>
    </row>
    <row r="81" spans="1:2" ht="25.5">
      <c r="A81" s="218" t="s">
        <v>648</v>
      </c>
      <c r="B81" s="234">
        <v>0</v>
      </c>
    </row>
    <row r="82" spans="1:2" ht="12.75">
      <c r="A82" s="218" t="s">
        <v>649</v>
      </c>
      <c r="B82" s="234">
        <v>8000</v>
      </c>
    </row>
    <row r="83" spans="1:2" ht="12.75">
      <c r="A83" s="410" t="s">
        <v>650</v>
      </c>
      <c r="B83" s="234">
        <v>2462088.48</v>
      </c>
    </row>
    <row r="84" spans="1:2" ht="12.75">
      <c r="A84" s="218" t="s">
        <v>1116</v>
      </c>
      <c r="B84" s="234">
        <v>0</v>
      </c>
    </row>
    <row r="85" spans="1:2" ht="38.25">
      <c r="A85" s="218" t="s">
        <v>651</v>
      </c>
      <c r="B85" s="234">
        <v>0</v>
      </c>
    </row>
    <row r="86" spans="1:2" ht="12.75">
      <c r="A86" s="218" t="s">
        <v>652</v>
      </c>
      <c r="B86" s="234">
        <v>0</v>
      </c>
    </row>
    <row r="87" spans="1:2" ht="12.75">
      <c r="A87" s="218" t="s">
        <v>580</v>
      </c>
      <c r="B87" s="234">
        <v>1433700.44</v>
      </c>
    </row>
    <row r="88" spans="1:2" ht="12.75">
      <c r="A88" s="218" t="s">
        <v>162</v>
      </c>
      <c r="B88" s="234">
        <v>210465.07</v>
      </c>
    </row>
    <row r="89" spans="1:2" ht="12.75">
      <c r="A89" s="218" t="s">
        <v>163</v>
      </c>
      <c r="B89" s="234">
        <v>97464.18</v>
      </c>
    </row>
    <row r="90" spans="1:2" ht="12.75">
      <c r="A90" s="218" t="s">
        <v>653</v>
      </c>
      <c r="B90" s="234">
        <v>57506.26</v>
      </c>
    </row>
    <row r="91" spans="1:2" ht="12.75">
      <c r="A91" s="218" t="s">
        <v>654</v>
      </c>
      <c r="B91" s="234">
        <v>155841.51</v>
      </c>
    </row>
    <row r="92" spans="1:2" ht="12.75">
      <c r="A92" s="218" t="s">
        <v>165</v>
      </c>
      <c r="B92" s="234">
        <v>302670.13</v>
      </c>
    </row>
    <row r="93" spans="1:2" ht="12.75">
      <c r="A93" s="218" t="s">
        <v>582</v>
      </c>
      <c r="B93" s="234">
        <v>166465.53</v>
      </c>
    </row>
    <row r="94" spans="1:2" ht="25.5">
      <c r="A94" s="218" t="s">
        <v>166</v>
      </c>
      <c r="B94" s="234">
        <v>0</v>
      </c>
    </row>
    <row r="95" spans="1:2" ht="12.75">
      <c r="A95" s="218" t="s">
        <v>167</v>
      </c>
      <c r="B95" s="234">
        <v>37975.36</v>
      </c>
    </row>
    <row r="96" spans="1:2" ht="12.75">
      <c r="A96" s="218" t="s">
        <v>83</v>
      </c>
      <c r="B96" s="234">
        <v>0</v>
      </c>
    </row>
    <row r="97" spans="1:2" ht="31.5">
      <c r="A97" s="414" t="s">
        <v>655</v>
      </c>
      <c r="B97" s="234">
        <v>-2114963.53</v>
      </c>
    </row>
    <row r="98" spans="1:2" ht="38.25">
      <c r="A98" s="410" t="s">
        <v>656</v>
      </c>
      <c r="B98" s="234">
        <v>0</v>
      </c>
    </row>
    <row r="99" spans="1:2" ht="12.75">
      <c r="A99" s="218" t="s">
        <v>657</v>
      </c>
      <c r="B99" s="234">
        <v>0</v>
      </c>
    </row>
    <row r="100" spans="1:2" ht="12.75">
      <c r="A100" s="218" t="s">
        <v>172</v>
      </c>
      <c r="B100" s="234">
        <v>0</v>
      </c>
    </row>
    <row r="101" spans="1:2" ht="12.75">
      <c r="A101" s="218" t="s">
        <v>173</v>
      </c>
      <c r="B101" s="234">
        <v>0</v>
      </c>
    </row>
    <row r="102" spans="1:2" ht="12.75">
      <c r="A102" s="218" t="s">
        <v>174</v>
      </c>
      <c r="B102" s="234">
        <v>0</v>
      </c>
    </row>
    <row r="103" spans="1:2" ht="12.75">
      <c r="A103" s="218" t="s">
        <v>658</v>
      </c>
      <c r="B103" s="234">
        <v>0</v>
      </c>
    </row>
    <row r="104" spans="1:2" ht="38.25">
      <c r="A104" s="410" t="s">
        <v>175</v>
      </c>
      <c r="B104" s="234">
        <v>0</v>
      </c>
    </row>
    <row r="105" spans="1:2" ht="12.75">
      <c r="A105" s="415" t="s">
        <v>173</v>
      </c>
      <c r="B105" s="234">
        <v>0</v>
      </c>
    </row>
    <row r="106" spans="1:2" ht="25.5">
      <c r="A106" s="218" t="s">
        <v>659</v>
      </c>
      <c r="B106" s="234">
        <v>0</v>
      </c>
    </row>
    <row r="107" spans="1:2" ht="12.75">
      <c r="A107" s="218" t="s">
        <v>83</v>
      </c>
      <c r="B107" s="234">
        <v>0</v>
      </c>
    </row>
    <row r="108" spans="1:2" ht="47.25">
      <c r="A108" s="414" t="s">
        <v>660</v>
      </c>
      <c r="B108" s="234">
        <v>0</v>
      </c>
    </row>
    <row r="109" spans="1:2" ht="38.25">
      <c r="A109" s="410" t="s">
        <v>178</v>
      </c>
      <c r="B109" s="234">
        <v>235323.46</v>
      </c>
    </row>
    <row r="110" spans="1:2" ht="12.75">
      <c r="A110" s="218" t="s">
        <v>661</v>
      </c>
      <c r="B110" s="234">
        <v>0</v>
      </c>
    </row>
    <row r="111" spans="1:2" ht="12.75">
      <c r="A111" s="218" t="s">
        <v>172</v>
      </c>
      <c r="B111" s="234">
        <v>196471.45</v>
      </c>
    </row>
    <row r="112" spans="1:2" ht="12.75">
      <c r="A112" s="218" t="s">
        <v>173</v>
      </c>
      <c r="B112" s="234">
        <v>6032.56</v>
      </c>
    </row>
    <row r="113" spans="1:2" ht="12.75">
      <c r="A113" s="218" t="s">
        <v>662</v>
      </c>
      <c r="B113" s="234">
        <v>0</v>
      </c>
    </row>
    <row r="114" spans="1:2" ht="25.5">
      <c r="A114" s="218" t="s">
        <v>663</v>
      </c>
      <c r="B114" s="234">
        <v>32819.45</v>
      </c>
    </row>
    <row r="115" spans="1:2" ht="12.75">
      <c r="A115" s="218" t="s">
        <v>83</v>
      </c>
      <c r="B115" s="234">
        <v>0</v>
      </c>
    </row>
    <row r="116" spans="1:2" ht="38.25">
      <c r="A116" s="410" t="s">
        <v>181</v>
      </c>
      <c r="B116" s="234">
        <v>0</v>
      </c>
    </row>
    <row r="117" spans="1:2" ht="12.75">
      <c r="A117" s="411" t="s">
        <v>173</v>
      </c>
      <c r="B117" s="234">
        <v>0</v>
      </c>
    </row>
    <row r="118" spans="1:2" ht="51">
      <c r="A118" s="218" t="s">
        <v>664</v>
      </c>
      <c r="B118" s="234">
        <v>0</v>
      </c>
    </row>
    <row r="119" spans="1:2" ht="25.5">
      <c r="A119" s="218" t="s">
        <v>183</v>
      </c>
      <c r="B119" s="234">
        <v>0</v>
      </c>
    </row>
    <row r="120" spans="1:2" ht="12.75">
      <c r="A120" s="218" t="s">
        <v>83</v>
      </c>
      <c r="B120" s="234">
        <v>0</v>
      </c>
    </row>
    <row r="121" spans="1:2" ht="47.25">
      <c r="A121" s="414" t="s">
        <v>665</v>
      </c>
      <c r="B121" s="234">
        <v>235323.46</v>
      </c>
    </row>
    <row r="122" spans="1:2" ht="12.75">
      <c r="A122" s="410" t="s">
        <v>68</v>
      </c>
      <c r="B122" s="234">
        <v>1300.57</v>
      </c>
    </row>
    <row r="123" spans="1:2" ht="38.25">
      <c r="A123" s="218" t="s">
        <v>666</v>
      </c>
      <c r="B123" s="234">
        <v>303.78</v>
      </c>
    </row>
    <row r="124" spans="1:2" ht="12.75">
      <c r="A124" s="218" t="s">
        <v>589</v>
      </c>
      <c r="B124" s="234">
        <v>0</v>
      </c>
    </row>
    <row r="125" spans="1:2" ht="12.75">
      <c r="A125" s="218" t="s">
        <v>83</v>
      </c>
      <c r="B125" s="234">
        <v>996.79</v>
      </c>
    </row>
    <row r="126" spans="1:2" ht="12.75">
      <c r="A126" s="410" t="s">
        <v>667</v>
      </c>
      <c r="B126" s="234">
        <v>888373.12</v>
      </c>
    </row>
    <row r="127" spans="1:2" ht="38.25">
      <c r="A127" s="218" t="s">
        <v>668</v>
      </c>
      <c r="B127" s="234">
        <v>0</v>
      </c>
    </row>
    <row r="128" spans="1:2" ht="12.75">
      <c r="A128" s="218" t="s">
        <v>187</v>
      </c>
      <c r="B128" s="234">
        <v>1937.12</v>
      </c>
    </row>
    <row r="129" spans="1:2" ht="12.75">
      <c r="A129" s="218" t="s">
        <v>83</v>
      </c>
      <c r="B129" s="234">
        <v>886436</v>
      </c>
    </row>
    <row r="130" spans="1:2" ht="12.75">
      <c r="A130" s="222" t="s">
        <v>189</v>
      </c>
      <c r="B130" s="234">
        <v>0</v>
      </c>
    </row>
    <row r="131" spans="1:2" ht="12.75">
      <c r="A131" s="411" t="s">
        <v>190</v>
      </c>
      <c r="B131" s="234">
        <v>0</v>
      </c>
    </row>
    <row r="132" spans="1:2" ht="12.75">
      <c r="A132" s="411" t="s">
        <v>191</v>
      </c>
      <c r="B132" s="234">
        <v>0</v>
      </c>
    </row>
    <row r="133" spans="1:2" ht="31.5">
      <c r="A133" s="414" t="s">
        <v>669</v>
      </c>
      <c r="B133" s="234">
        <v>-2766712.62</v>
      </c>
    </row>
    <row r="134" spans="1:2" ht="12.75">
      <c r="A134" s="410" t="s">
        <v>1675</v>
      </c>
      <c r="B134" s="234">
        <v>287818.04</v>
      </c>
    </row>
    <row r="135" spans="1:2" ht="12.75">
      <c r="A135" s="218" t="s">
        <v>195</v>
      </c>
      <c r="B135" s="234">
        <v>0</v>
      </c>
    </row>
    <row r="136" spans="1:2" ht="12.75">
      <c r="A136" s="218" t="s">
        <v>196</v>
      </c>
      <c r="B136" s="234">
        <v>287818.04</v>
      </c>
    </row>
    <row r="137" spans="1:2" ht="12.75">
      <c r="A137" s="218" t="s">
        <v>197</v>
      </c>
      <c r="B137" s="234">
        <v>0</v>
      </c>
    </row>
    <row r="138" spans="1:2" ht="12.75">
      <c r="A138" s="218" t="s">
        <v>198</v>
      </c>
      <c r="B138" s="234">
        <v>0</v>
      </c>
    </row>
    <row r="139" spans="1:2" ht="12.75">
      <c r="A139" s="218" t="s">
        <v>83</v>
      </c>
      <c r="B139" s="234">
        <v>0</v>
      </c>
    </row>
    <row r="140" spans="1:2" ht="12.75">
      <c r="A140" s="410" t="s">
        <v>594</v>
      </c>
      <c r="B140" s="234">
        <v>0</v>
      </c>
    </row>
    <row r="141" spans="1:2" ht="25.5">
      <c r="A141" s="218" t="s">
        <v>670</v>
      </c>
      <c r="B141" s="234">
        <v>0</v>
      </c>
    </row>
    <row r="142" spans="1:2" ht="12.75">
      <c r="A142" s="218" t="s">
        <v>197</v>
      </c>
      <c r="B142" s="234">
        <v>0</v>
      </c>
    </row>
    <row r="143" spans="1:2" ht="12.75">
      <c r="A143" s="222" t="s">
        <v>671</v>
      </c>
      <c r="B143" s="234">
        <v>0</v>
      </c>
    </row>
    <row r="144" spans="1:2" ht="12.75">
      <c r="A144" s="218" t="s">
        <v>672</v>
      </c>
      <c r="B144" s="234">
        <v>0</v>
      </c>
    </row>
    <row r="145" spans="1:2" ht="12.75">
      <c r="A145" s="218" t="s">
        <v>673</v>
      </c>
      <c r="B145" s="234">
        <v>0</v>
      </c>
    </row>
    <row r="146" spans="1:2" ht="12.75">
      <c r="A146" s="218" t="s">
        <v>83</v>
      </c>
      <c r="B146" s="234">
        <v>0</v>
      </c>
    </row>
    <row r="147" spans="1:2" ht="31.5">
      <c r="A147" s="414" t="s">
        <v>674</v>
      </c>
      <c r="B147" s="234">
        <v>-2478894.58</v>
      </c>
    </row>
    <row r="148" spans="1:2" ht="12.75">
      <c r="A148" s="222" t="s">
        <v>72</v>
      </c>
      <c r="B148" s="234">
        <v>0</v>
      </c>
    </row>
    <row r="149" spans="1:2" ht="12.75">
      <c r="A149" s="218" t="s">
        <v>208</v>
      </c>
      <c r="B149" s="234">
        <v>0</v>
      </c>
    </row>
    <row r="150" spans="1:2" ht="12.75">
      <c r="A150" s="218" t="s">
        <v>83</v>
      </c>
      <c r="B150" s="234">
        <v>0</v>
      </c>
    </row>
    <row r="151" spans="1:2" ht="12.75">
      <c r="A151" s="222" t="s">
        <v>95</v>
      </c>
      <c r="B151" s="234">
        <v>0</v>
      </c>
    </row>
    <row r="152" spans="1:2" ht="12.75">
      <c r="A152" s="218" t="s">
        <v>208</v>
      </c>
      <c r="B152" s="234">
        <v>0</v>
      </c>
    </row>
    <row r="153" spans="1:2" ht="12.75">
      <c r="A153" s="218" t="s">
        <v>83</v>
      </c>
      <c r="B153" s="234">
        <v>0</v>
      </c>
    </row>
    <row r="154" spans="1:2" ht="15.75">
      <c r="A154" s="414" t="s">
        <v>675</v>
      </c>
      <c r="B154" s="234">
        <v>-2478894.58</v>
      </c>
    </row>
    <row r="155" spans="1:2" ht="12.75">
      <c r="A155" s="222" t="s">
        <v>213</v>
      </c>
      <c r="B155" s="234">
        <v>0</v>
      </c>
    </row>
    <row r="156" spans="1:2" ht="25.5">
      <c r="A156" s="222" t="s">
        <v>676</v>
      </c>
      <c r="B156" s="234">
        <v>0</v>
      </c>
    </row>
    <row r="157" spans="1:2" ht="15.75">
      <c r="A157" s="414" t="s">
        <v>677</v>
      </c>
      <c r="B157" s="234">
        <v>-2478894.58</v>
      </c>
    </row>
  </sheetData>
  <mergeCells count="1">
    <mergeCell ref="A67:O6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61"/>
  <sheetViews>
    <sheetView workbookViewId="0" topLeftCell="A1">
      <selection activeCell="C3" sqref="C3"/>
    </sheetView>
  </sheetViews>
  <sheetFormatPr defaultColWidth="9.140625" defaultRowHeight="12.75"/>
  <cols>
    <col min="2" max="2" width="28.28125" style="0" customWidth="1"/>
    <col min="3" max="3" width="21.7109375" style="0" customWidth="1"/>
  </cols>
  <sheetData>
    <row r="1" ht="12.75">
      <c r="B1" s="28" t="s">
        <v>1667</v>
      </c>
    </row>
    <row r="3" spans="1:3" ht="15.75">
      <c r="A3" s="1"/>
      <c r="B3" s="2" t="s">
        <v>1578</v>
      </c>
      <c r="C3" s="492" t="s">
        <v>505</v>
      </c>
    </row>
    <row r="4" spans="1:3" ht="12.75">
      <c r="A4" s="4"/>
      <c r="B4" s="5" t="s">
        <v>1579</v>
      </c>
      <c r="C4" s="6" t="s">
        <v>1580</v>
      </c>
    </row>
    <row r="5" spans="1:3" ht="12.75">
      <c r="A5" s="7" t="s">
        <v>1581</v>
      </c>
      <c r="B5" s="7"/>
      <c r="C5" s="8">
        <v>36091417.589999996</v>
      </c>
    </row>
    <row r="6" spans="1:3" ht="12.75">
      <c r="A6" s="9" t="s">
        <v>1582</v>
      </c>
      <c r="B6" s="9"/>
      <c r="C6" s="10">
        <v>21459.12</v>
      </c>
    </row>
    <row r="7" spans="1:3" ht="12.75">
      <c r="A7" s="11" t="s">
        <v>1583</v>
      </c>
      <c r="B7" s="11"/>
      <c r="C7" s="12">
        <v>21459.12</v>
      </c>
    </row>
    <row r="8" spans="1:3" ht="12.75">
      <c r="A8" s="11" t="s">
        <v>1584</v>
      </c>
      <c r="B8" s="11"/>
      <c r="C8" s="12"/>
    </row>
    <row r="9" spans="1:3" ht="12.75">
      <c r="A9" s="11" t="s">
        <v>1585</v>
      </c>
      <c r="B9" s="11"/>
      <c r="C9" s="12"/>
    </row>
    <row r="10" spans="1:3" ht="12.75">
      <c r="A10" s="11" t="s">
        <v>1586</v>
      </c>
      <c r="B10" s="11"/>
      <c r="C10" s="12"/>
    </row>
    <row r="11" spans="1:3" ht="12.75">
      <c r="A11" s="11" t="s">
        <v>1587</v>
      </c>
      <c r="B11" s="11"/>
      <c r="C11" s="12"/>
    </row>
    <row r="12" spans="1:3" ht="12.75">
      <c r="A12" s="13" t="s">
        <v>1588</v>
      </c>
      <c r="B12" s="13"/>
      <c r="C12" s="10">
        <v>181397.67</v>
      </c>
    </row>
    <row r="13" spans="1:3" ht="12.75">
      <c r="A13" s="11" t="s">
        <v>1589</v>
      </c>
      <c r="B13" s="11"/>
      <c r="C13" s="12"/>
    </row>
    <row r="14" spans="1:3" ht="12.75">
      <c r="A14" s="11" t="s">
        <v>1590</v>
      </c>
      <c r="B14" s="11"/>
      <c r="C14" s="12">
        <v>11650.86</v>
      </c>
    </row>
    <row r="15" spans="1:3" ht="12.75">
      <c r="A15" s="11" t="s">
        <v>1591</v>
      </c>
      <c r="B15" s="11"/>
      <c r="C15" s="12">
        <v>93351.19</v>
      </c>
    </row>
    <row r="16" spans="1:3" ht="12.75">
      <c r="A16" s="11" t="s">
        <v>1592</v>
      </c>
      <c r="B16" s="11"/>
      <c r="C16" s="12">
        <v>52613.31</v>
      </c>
    </row>
    <row r="17" spans="1:3" ht="12.75">
      <c r="A17" s="14" t="s">
        <v>1593</v>
      </c>
      <c r="B17" s="14"/>
      <c r="C17" s="12">
        <v>23782.31</v>
      </c>
    </row>
    <row r="18" spans="1:3" ht="12.75">
      <c r="A18" s="11" t="s">
        <v>1594</v>
      </c>
      <c r="B18" s="11"/>
      <c r="C18" s="12"/>
    </row>
    <row r="19" spans="1:3" ht="12.75">
      <c r="A19" s="11" t="s">
        <v>1595</v>
      </c>
      <c r="B19" s="11"/>
      <c r="C19" s="12"/>
    </row>
    <row r="20" spans="1:3" ht="12.75">
      <c r="A20" s="9" t="s">
        <v>1596</v>
      </c>
      <c r="B20" s="9"/>
      <c r="C20" s="10">
        <v>35888560.8</v>
      </c>
    </row>
    <row r="21" spans="1:3" ht="12.75">
      <c r="A21" s="11" t="s">
        <v>1597</v>
      </c>
      <c r="B21" s="11"/>
      <c r="C21" s="12">
        <v>27652660.8</v>
      </c>
    </row>
    <row r="22" spans="1:3" ht="12.75">
      <c r="A22" s="11" t="s">
        <v>1598</v>
      </c>
      <c r="B22" s="11"/>
      <c r="C22" s="12"/>
    </row>
    <row r="23" spans="1:3" ht="12.75">
      <c r="A23" s="11" t="s">
        <v>1599</v>
      </c>
      <c r="B23" s="11"/>
      <c r="C23" s="12">
        <v>8235900</v>
      </c>
    </row>
    <row r="24" spans="1:3" ht="12.75">
      <c r="A24" s="14" t="s">
        <v>1600</v>
      </c>
      <c r="B24" s="14"/>
      <c r="C24" s="12"/>
    </row>
    <row r="25" spans="1:3" ht="12.75">
      <c r="A25" s="9" t="s">
        <v>1601</v>
      </c>
      <c r="B25" s="9"/>
      <c r="C25" s="15"/>
    </row>
    <row r="26" spans="1:3" ht="12.75">
      <c r="A26" s="7" t="s">
        <v>1602</v>
      </c>
      <c r="B26" s="7"/>
      <c r="C26" s="8">
        <v>43545175.34</v>
      </c>
    </row>
    <row r="27" spans="1:3" ht="12.75">
      <c r="A27" s="9" t="s">
        <v>1603</v>
      </c>
      <c r="B27" s="9"/>
      <c r="C27" s="10">
        <v>0</v>
      </c>
    </row>
    <row r="28" spans="1:3" ht="12.75">
      <c r="A28" s="11" t="s">
        <v>1604</v>
      </c>
      <c r="B28" s="11"/>
      <c r="C28" s="12"/>
    </row>
    <row r="29" spans="1:3" ht="12.75">
      <c r="A29" s="11" t="s">
        <v>1605</v>
      </c>
      <c r="B29" s="11"/>
      <c r="C29" s="12"/>
    </row>
    <row r="30" spans="1:3" ht="12.75">
      <c r="A30" s="11" t="s">
        <v>1606</v>
      </c>
      <c r="B30" s="11"/>
      <c r="C30" s="12"/>
    </row>
    <row r="31" spans="1:3" ht="12.75">
      <c r="A31" s="11" t="s">
        <v>1607</v>
      </c>
      <c r="B31" s="11"/>
      <c r="C31" s="12"/>
    </row>
    <row r="32" spans="1:3" ht="12.75">
      <c r="A32" s="11" t="s">
        <v>1608</v>
      </c>
      <c r="B32" s="11"/>
      <c r="C32" s="12"/>
    </row>
    <row r="33" spans="1:3" ht="12.75">
      <c r="A33" s="9" t="s">
        <v>1609</v>
      </c>
      <c r="B33" s="9"/>
      <c r="C33" s="10">
        <v>3653281.49</v>
      </c>
    </row>
    <row r="34" spans="1:3" ht="12.75">
      <c r="A34" s="11" t="s">
        <v>1610</v>
      </c>
      <c r="B34" s="11"/>
      <c r="C34" s="12">
        <v>24949.42</v>
      </c>
    </row>
    <row r="35" spans="1:3" ht="12.75">
      <c r="A35" s="14" t="s">
        <v>1611</v>
      </c>
      <c r="B35" s="14"/>
      <c r="C35" s="12">
        <v>2903.88</v>
      </c>
    </row>
    <row r="36" spans="1:3" ht="12.75">
      <c r="A36" s="11" t="s">
        <v>1612</v>
      </c>
      <c r="B36" s="11"/>
      <c r="C36" s="12"/>
    </row>
    <row r="37" spans="1:3" ht="12.75">
      <c r="A37" s="11" t="s">
        <v>1613</v>
      </c>
      <c r="B37" s="11"/>
      <c r="C37" s="12">
        <v>3625428.19</v>
      </c>
    </row>
    <row r="38" spans="1:3" ht="12.75">
      <c r="A38" s="11" t="s">
        <v>1614</v>
      </c>
      <c r="B38" s="11"/>
      <c r="C38" s="12"/>
    </row>
    <row r="39" spans="1:3" ht="12.75">
      <c r="A39" s="9" t="s">
        <v>1615</v>
      </c>
      <c r="B39" s="9"/>
      <c r="C39" s="10">
        <v>39100284.34</v>
      </c>
    </row>
    <row r="40" spans="1:3" ht="12.75">
      <c r="A40" s="11" t="s">
        <v>1616</v>
      </c>
      <c r="B40" s="11"/>
      <c r="C40" s="12"/>
    </row>
    <row r="41" spans="1:3" ht="12.75">
      <c r="A41" s="11" t="s">
        <v>1617</v>
      </c>
      <c r="B41" s="11"/>
      <c r="C41" s="12">
        <v>39100284.34</v>
      </c>
    </row>
    <row r="42" spans="1:3" ht="12.75">
      <c r="A42" s="9" t="s">
        <v>1618</v>
      </c>
      <c r="B42" s="9"/>
      <c r="C42" s="10">
        <v>791609.51</v>
      </c>
    </row>
    <row r="43" spans="1:3" ht="12.75">
      <c r="A43" s="11" t="s">
        <v>1619</v>
      </c>
      <c r="B43" s="11"/>
      <c r="C43" s="12">
        <v>8373.29</v>
      </c>
    </row>
    <row r="44" spans="1:3" ht="12.75">
      <c r="A44" s="11" t="s">
        <v>1620</v>
      </c>
      <c r="B44" s="11"/>
      <c r="C44" s="12">
        <v>783236.22</v>
      </c>
    </row>
    <row r="45" spans="1:3" ht="12.75">
      <c r="A45" s="11" t="s">
        <v>1621</v>
      </c>
      <c r="B45" s="11"/>
      <c r="C45" s="12"/>
    </row>
    <row r="46" spans="1:3" ht="12.75">
      <c r="A46" s="7" t="s">
        <v>1622</v>
      </c>
      <c r="B46" s="7"/>
      <c r="C46" s="8">
        <v>132449.37</v>
      </c>
    </row>
    <row r="47" spans="1:3" ht="12.75">
      <c r="A47" s="11" t="s">
        <v>1623</v>
      </c>
      <c r="B47" s="11"/>
      <c r="C47" s="12">
        <v>132449.37</v>
      </c>
    </row>
    <row r="48" spans="1:3" ht="12.75">
      <c r="A48" s="11" t="s">
        <v>1624</v>
      </c>
      <c r="B48" s="11"/>
      <c r="C48" s="12"/>
    </row>
    <row r="49" spans="1:3" ht="12.75">
      <c r="A49" s="16" t="s">
        <v>1625</v>
      </c>
      <c r="B49" s="17"/>
      <c r="C49" s="8">
        <v>79769042.30000001</v>
      </c>
    </row>
    <row r="50" spans="1:3" ht="12.75">
      <c r="A50" s="18"/>
      <c r="B50" s="18"/>
      <c r="C50" s="18">
        <v>0</v>
      </c>
    </row>
    <row r="51" spans="1:3" ht="12.75">
      <c r="A51" s="19"/>
      <c r="B51" s="19"/>
      <c r="C51" s="6"/>
    </row>
    <row r="52" spans="1:3" ht="15.75">
      <c r="A52" s="5"/>
      <c r="B52" s="20" t="s">
        <v>1626</v>
      </c>
      <c r="C52" s="21"/>
    </row>
    <row r="53" spans="1:3" ht="12.75">
      <c r="A53" s="22"/>
      <c r="B53" s="5" t="s">
        <v>1579</v>
      </c>
      <c r="C53" s="6" t="s">
        <v>1580</v>
      </c>
    </row>
    <row r="54" spans="1:3" ht="12.75">
      <c r="A54" s="7" t="s">
        <v>1627</v>
      </c>
      <c r="B54" s="7"/>
      <c r="C54" s="8">
        <v>18098537.8</v>
      </c>
    </row>
    <row r="55" spans="1:3" ht="12.75">
      <c r="A55" s="11" t="s">
        <v>1628</v>
      </c>
      <c r="B55" s="11"/>
      <c r="C55" s="23">
        <v>11880000</v>
      </c>
    </row>
    <row r="56" spans="1:3" ht="12.75">
      <c r="A56" s="11" t="s">
        <v>1629</v>
      </c>
      <c r="B56" s="11"/>
      <c r="C56" s="12"/>
    </row>
    <row r="57" spans="1:3" ht="12.75">
      <c r="A57" s="9" t="s">
        <v>1630</v>
      </c>
      <c r="B57" s="9"/>
      <c r="C57" s="10">
        <v>6120000</v>
      </c>
    </row>
    <row r="58" spans="1:3" ht="12.75">
      <c r="A58" s="14" t="s">
        <v>1631</v>
      </c>
      <c r="B58" s="14"/>
      <c r="C58" s="12">
        <v>6120000</v>
      </c>
    </row>
    <row r="59" spans="1:3" ht="12.75">
      <c r="A59" s="11" t="s">
        <v>1632</v>
      </c>
      <c r="B59" s="11"/>
      <c r="C59" s="12"/>
    </row>
    <row r="60" spans="1:3" ht="12.75">
      <c r="A60" s="11" t="s">
        <v>1633</v>
      </c>
      <c r="B60" s="11"/>
      <c r="C60" s="12"/>
    </row>
    <row r="61" spans="1:3" ht="12.75">
      <c r="A61" s="11" t="s">
        <v>1634</v>
      </c>
      <c r="B61" s="11"/>
      <c r="C61" s="12"/>
    </row>
    <row r="62" spans="1:3" ht="12.75">
      <c r="A62" s="11" t="s">
        <v>1635</v>
      </c>
      <c r="B62" s="11"/>
      <c r="C62" s="12"/>
    </row>
    <row r="63" spans="1:3" ht="12.75">
      <c r="A63" s="11" t="s">
        <v>1636</v>
      </c>
      <c r="B63" s="11"/>
      <c r="C63" s="12"/>
    </row>
    <row r="64" spans="1:3" ht="12.75">
      <c r="A64" s="11" t="s">
        <v>1637</v>
      </c>
      <c r="B64" s="11"/>
      <c r="C64" s="12">
        <v>20557.34</v>
      </c>
    </row>
    <row r="65" spans="1:3" ht="12.75">
      <c r="A65" s="9" t="s">
        <v>1638</v>
      </c>
      <c r="B65" s="9"/>
      <c r="C65" s="24">
        <v>0</v>
      </c>
    </row>
    <row r="66" spans="1:3" ht="12.75">
      <c r="A66" s="11" t="s">
        <v>1639</v>
      </c>
      <c r="B66" s="11"/>
      <c r="C66" s="12">
        <v>0</v>
      </c>
    </row>
    <row r="67" spans="1:3" ht="12.75">
      <c r="A67" s="11" t="s">
        <v>1640</v>
      </c>
      <c r="B67" s="11"/>
      <c r="C67" s="12">
        <v>0</v>
      </c>
    </row>
    <row r="68" spans="1:3" ht="12.75">
      <c r="A68" s="9" t="s">
        <v>1641</v>
      </c>
      <c r="B68" s="9"/>
      <c r="C68" s="10">
        <v>77980.46</v>
      </c>
    </row>
    <row r="69" spans="1:3" ht="12.75">
      <c r="A69" s="11" t="s">
        <v>1639</v>
      </c>
      <c r="B69" s="11"/>
      <c r="C69" s="12">
        <v>77980.46</v>
      </c>
    </row>
    <row r="70" spans="1:3" ht="12.75">
      <c r="A70" s="11" t="s">
        <v>1642</v>
      </c>
      <c r="B70" s="11"/>
      <c r="C70" s="12"/>
    </row>
    <row r="71" spans="1:3" ht="12.75">
      <c r="A71" s="11" t="s">
        <v>1643</v>
      </c>
      <c r="B71" s="11"/>
      <c r="C71" s="12"/>
    </row>
    <row r="72" spans="1:3" ht="12.75">
      <c r="A72" s="7" t="s">
        <v>1644</v>
      </c>
      <c r="B72" s="7"/>
      <c r="C72" s="8">
        <v>2025.48</v>
      </c>
    </row>
    <row r="73" spans="1:3" ht="12.75">
      <c r="A73" s="14" t="s">
        <v>1645</v>
      </c>
      <c r="B73" s="14"/>
      <c r="C73" s="12">
        <v>2025.48</v>
      </c>
    </row>
    <row r="74" spans="1:3" ht="12.75">
      <c r="A74" s="11" t="s">
        <v>1646</v>
      </c>
      <c r="B74" s="11"/>
      <c r="C74" s="12"/>
    </row>
    <row r="75" spans="1:3" ht="12.75">
      <c r="A75" s="7" t="s">
        <v>1647</v>
      </c>
      <c r="B75" s="7"/>
      <c r="C75" s="8">
        <v>10060000</v>
      </c>
    </row>
    <row r="76" spans="1:3" ht="12.75">
      <c r="A76" s="14" t="s">
        <v>1648</v>
      </c>
      <c r="B76" s="14"/>
      <c r="C76" s="12">
        <v>4000000</v>
      </c>
    </row>
    <row r="77" spans="1:3" ht="12.75">
      <c r="A77" s="11" t="s">
        <v>1649</v>
      </c>
      <c r="B77" s="11"/>
      <c r="C77" s="12"/>
    </row>
    <row r="78" spans="1:3" ht="12.75">
      <c r="A78" s="11" t="s">
        <v>1650</v>
      </c>
      <c r="B78" s="11"/>
      <c r="C78" s="12">
        <v>6060000</v>
      </c>
    </row>
    <row r="79" spans="1:3" ht="12.75">
      <c r="A79" s="7" t="s">
        <v>1651</v>
      </c>
      <c r="B79" s="7"/>
      <c r="C79" s="8">
        <v>51608479.019999996</v>
      </c>
    </row>
    <row r="80" spans="1:3" ht="12.75">
      <c r="A80" s="9" t="s">
        <v>1652</v>
      </c>
      <c r="B80" s="9"/>
      <c r="C80" s="10">
        <v>51608479.019999996</v>
      </c>
    </row>
    <row r="81" spans="1:3" ht="12.75">
      <c r="A81" s="11" t="s">
        <v>1653</v>
      </c>
      <c r="B81" s="11"/>
      <c r="C81" s="12">
        <v>44506865.32</v>
      </c>
    </row>
    <row r="82" spans="1:3" ht="12.75">
      <c r="A82" s="11" t="s">
        <v>1654</v>
      </c>
      <c r="B82" s="11"/>
      <c r="C82" s="12"/>
    </row>
    <row r="83" spans="1:3" ht="12.75">
      <c r="A83" s="11" t="s">
        <v>1655</v>
      </c>
      <c r="B83" s="11"/>
      <c r="C83" s="12"/>
    </row>
    <row r="84" spans="1:3" ht="12.75">
      <c r="A84" s="11" t="s">
        <v>1656</v>
      </c>
      <c r="B84" s="11"/>
      <c r="C84" s="12">
        <v>33452.32</v>
      </c>
    </row>
    <row r="85" spans="1:3" ht="12.75">
      <c r="A85" s="11" t="s">
        <v>1657</v>
      </c>
      <c r="B85" s="11"/>
      <c r="C85" s="12"/>
    </row>
    <row r="86" spans="1:3" ht="12.75">
      <c r="A86" s="14" t="s">
        <v>1658</v>
      </c>
      <c r="B86" s="14"/>
      <c r="C86" s="12">
        <v>37199.33</v>
      </c>
    </row>
    <row r="87" spans="1:3" ht="12.75">
      <c r="A87" s="11" t="s">
        <v>1659</v>
      </c>
      <c r="B87" s="11"/>
      <c r="C87" s="12">
        <v>16899.15</v>
      </c>
    </row>
    <row r="88" spans="1:3" ht="12.75">
      <c r="A88" s="11" t="s">
        <v>1660</v>
      </c>
      <c r="B88" s="11"/>
      <c r="C88" s="12"/>
    </row>
    <row r="89" spans="1:3" ht="12.75">
      <c r="A89" s="11" t="s">
        <v>1661</v>
      </c>
      <c r="B89" s="11"/>
      <c r="C89" s="12">
        <v>7014062.9</v>
      </c>
    </row>
    <row r="90" spans="1:3" ht="12.75">
      <c r="A90" s="9" t="s">
        <v>1662</v>
      </c>
      <c r="B90" s="7"/>
      <c r="C90" s="25"/>
    </row>
    <row r="91" spans="1:3" ht="12.75">
      <c r="A91" s="503" t="s">
        <v>1663</v>
      </c>
      <c r="B91" s="503"/>
      <c r="C91" s="26">
        <v>0</v>
      </c>
    </row>
    <row r="92" spans="1:3" ht="12.75">
      <c r="A92" s="11" t="s">
        <v>1664</v>
      </c>
      <c r="B92" s="11"/>
      <c r="C92" s="12">
        <v>0</v>
      </c>
    </row>
    <row r="93" spans="1:3" ht="12.75">
      <c r="A93" s="11" t="s">
        <v>1665</v>
      </c>
      <c r="B93" s="11"/>
      <c r="C93" s="12"/>
    </row>
    <row r="94" spans="1:3" ht="12.75">
      <c r="A94" s="16" t="s">
        <v>1666</v>
      </c>
      <c r="B94" s="17"/>
      <c r="C94" s="8">
        <v>79769042.3</v>
      </c>
    </row>
    <row r="96" spans="1:8" ht="15.75">
      <c r="A96" s="50" t="s">
        <v>1668</v>
      </c>
      <c r="C96" s="30"/>
      <c r="D96" s="31"/>
      <c r="E96" s="29"/>
      <c r="F96" s="29"/>
      <c r="G96" s="29"/>
      <c r="H96" s="29"/>
    </row>
    <row r="97" spans="1:3" ht="12.75">
      <c r="A97" s="32"/>
      <c r="B97" s="32" t="s">
        <v>1669</v>
      </c>
      <c r="C97" s="33" t="s">
        <v>1670</v>
      </c>
    </row>
    <row r="98" spans="1:3" ht="12.75">
      <c r="A98" s="34" t="s">
        <v>1671</v>
      </c>
      <c r="B98" s="34"/>
      <c r="C98" s="34">
        <v>99840.75</v>
      </c>
    </row>
    <row r="99" spans="1:3" ht="12.75">
      <c r="A99" s="35" t="s">
        <v>1672</v>
      </c>
      <c r="B99" s="35"/>
      <c r="C99" s="36">
        <v>71132.14</v>
      </c>
    </row>
    <row r="100" spans="1:3" ht="12.75">
      <c r="A100" s="35" t="s">
        <v>1673</v>
      </c>
      <c r="B100" s="35"/>
      <c r="C100" s="36">
        <v>28708.61</v>
      </c>
    </row>
    <row r="101" spans="1:3" ht="12.75">
      <c r="A101" s="35" t="s">
        <v>1674</v>
      </c>
      <c r="B101" s="32"/>
      <c r="C101" s="33"/>
    </row>
    <row r="102" spans="1:3" ht="12.75">
      <c r="A102" s="34" t="s">
        <v>1675</v>
      </c>
      <c r="B102" s="34"/>
      <c r="C102" s="34">
        <v>3912965.89</v>
      </c>
    </row>
    <row r="103" spans="1:3" ht="12.75">
      <c r="A103" s="35" t="s">
        <v>1676</v>
      </c>
      <c r="B103" s="35"/>
      <c r="C103" s="36">
        <v>348702.56</v>
      </c>
    </row>
    <row r="104" spans="1:3" ht="12.75">
      <c r="A104" s="38" t="s">
        <v>61</v>
      </c>
      <c r="B104" s="38"/>
      <c r="C104" s="39">
        <v>115272.22</v>
      </c>
    </row>
    <row r="105" spans="1:3" ht="12.75">
      <c r="A105" s="40" t="s">
        <v>62</v>
      </c>
      <c r="B105" s="40"/>
      <c r="C105" s="36">
        <v>3448991.11</v>
      </c>
    </row>
    <row r="106" spans="1:3" ht="12.75">
      <c r="A106" s="3"/>
      <c r="B106" s="3" t="s">
        <v>63</v>
      </c>
      <c r="C106" s="37">
        <v>224396.76</v>
      </c>
    </row>
    <row r="107" spans="1:3" ht="12.75">
      <c r="A107" s="3"/>
      <c r="B107" s="3" t="s">
        <v>64</v>
      </c>
      <c r="C107" s="37">
        <v>43116.86</v>
      </c>
    </row>
    <row r="108" spans="1:3" ht="12.75">
      <c r="A108" s="3"/>
      <c r="B108" s="41" t="s">
        <v>65</v>
      </c>
      <c r="C108" s="42">
        <v>49122.49</v>
      </c>
    </row>
    <row r="109" spans="1:3" ht="12.75">
      <c r="A109" s="3"/>
      <c r="B109" s="41" t="s">
        <v>66</v>
      </c>
      <c r="C109" s="42">
        <v>1732500</v>
      </c>
    </row>
    <row r="110" spans="1:3" ht="12.75">
      <c r="A110" s="3"/>
      <c r="B110" s="43" t="s">
        <v>67</v>
      </c>
      <c r="C110" s="42">
        <v>1399855</v>
      </c>
    </row>
    <row r="111" spans="1:3" ht="12.75">
      <c r="A111" s="34" t="s">
        <v>68</v>
      </c>
      <c r="B111" s="34"/>
      <c r="C111" s="34">
        <v>601.98</v>
      </c>
    </row>
    <row r="112" spans="1:3" ht="12.75">
      <c r="A112" s="35"/>
      <c r="B112" s="44" t="s">
        <v>69</v>
      </c>
      <c r="C112" s="37">
        <v>600</v>
      </c>
    </row>
    <row r="113" spans="1:3" ht="12.75">
      <c r="A113" s="35"/>
      <c r="B113" s="44" t="s">
        <v>70</v>
      </c>
      <c r="C113" s="37">
        <v>1.58</v>
      </c>
    </row>
    <row r="114" spans="1:3" ht="12.75">
      <c r="A114" s="35"/>
      <c r="B114" s="44" t="s">
        <v>71</v>
      </c>
      <c r="C114" s="37">
        <v>0.4</v>
      </c>
    </row>
    <row r="115" spans="1:3" ht="12.75">
      <c r="A115" s="45" t="s">
        <v>72</v>
      </c>
      <c r="B115" s="45"/>
      <c r="C115" s="46"/>
    </row>
    <row r="116" spans="1:3" ht="12.75">
      <c r="A116" s="34" t="s">
        <v>73</v>
      </c>
      <c r="B116" s="34"/>
      <c r="C116" s="34">
        <v>4013408.62</v>
      </c>
    </row>
    <row r="117" spans="1:3" ht="12.75">
      <c r="A117" s="3"/>
      <c r="B117" s="3"/>
      <c r="C117" s="3"/>
    </row>
    <row r="118" spans="1:3" ht="12.75">
      <c r="A118" s="40"/>
      <c r="B118" s="32" t="s">
        <v>74</v>
      </c>
      <c r="C118" s="33" t="s">
        <v>1670</v>
      </c>
    </row>
    <row r="119" spans="1:3" ht="12.75">
      <c r="A119" s="34" t="s">
        <v>75</v>
      </c>
      <c r="B119" s="34"/>
      <c r="C119" s="34">
        <v>1151591.16</v>
      </c>
    </row>
    <row r="120" spans="1:3" ht="12.75">
      <c r="A120" s="35" t="s">
        <v>76</v>
      </c>
      <c r="B120" s="35"/>
      <c r="C120" s="36">
        <v>26032.61</v>
      </c>
    </row>
    <row r="121" spans="1:3" ht="12.75">
      <c r="A121" s="35" t="s">
        <v>77</v>
      </c>
      <c r="B121" s="35"/>
      <c r="C121" s="36">
        <v>294623.23</v>
      </c>
    </row>
    <row r="122" spans="1:3" ht="14.25" customHeight="1">
      <c r="A122" s="35" t="s">
        <v>78</v>
      </c>
      <c r="B122" s="35"/>
      <c r="C122" s="36">
        <v>57466.86</v>
      </c>
    </row>
    <row r="123" spans="1:3" ht="14.25" customHeight="1">
      <c r="A123" s="35" t="s">
        <v>79</v>
      </c>
      <c r="B123" s="35"/>
      <c r="C123" s="36">
        <v>610592.2</v>
      </c>
    </row>
    <row r="124" spans="1:3" ht="14.25" customHeight="1">
      <c r="A124" s="35" t="s">
        <v>80</v>
      </c>
      <c r="B124" s="35"/>
      <c r="C124" s="36">
        <v>104495.14</v>
      </c>
    </row>
    <row r="125" spans="1:3" ht="12.75">
      <c r="A125" s="35" t="s">
        <v>81</v>
      </c>
      <c r="B125" s="35"/>
      <c r="C125" s="36">
        <v>30060.16</v>
      </c>
    </row>
    <row r="126" spans="1:3" ht="14.25" customHeight="1">
      <c r="A126" s="40" t="s">
        <v>82</v>
      </c>
      <c r="B126" s="40"/>
      <c r="C126" s="36">
        <v>28320.96</v>
      </c>
    </row>
    <row r="127" spans="1:3" ht="12.75">
      <c r="A127" s="34" t="s">
        <v>84</v>
      </c>
      <c r="B127" s="34"/>
      <c r="C127" s="34">
        <v>0.93</v>
      </c>
    </row>
    <row r="128" spans="1:3" ht="12.75">
      <c r="A128" s="40" t="s">
        <v>85</v>
      </c>
      <c r="B128" s="40"/>
      <c r="C128" s="36">
        <v>0.93</v>
      </c>
    </row>
    <row r="129" spans="1:3" ht="12.75">
      <c r="A129" s="34" t="s">
        <v>87</v>
      </c>
      <c r="B129" s="34"/>
      <c r="C129" s="34">
        <v>2545759.79</v>
      </c>
    </row>
    <row r="130" spans="1:3" ht="12.75">
      <c r="A130" s="35" t="s">
        <v>88</v>
      </c>
      <c r="B130" s="35"/>
      <c r="C130" s="36">
        <v>1911658.7</v>
      </c>
    </row>
    <row r="131" spans="1:3" ht="12.75">
      <c r="A131" s="40" t="s">
        <v>89</v>
      </c>
      <c r="B131" s="40"/>
      <c r="C131" s="36">
        <v>634101.09</v>
      </c>
    </row>
    <row r="132" spans="1:3" ht="12.75">
      <c r="A132" s="3"/>
      <c r="B132" s="3" t="s">
        <v>90</v>
      </c>
      <c r="C132" s="37">
        <v>528856.56</v>
      </c>
    </row>
    <row r="133" spans="1:3" ht="12.75">
      <c r="A133" s="3"/>
      <c r="B133" s="3" t="s">
        <v>91</v>
      </c>
      <c r="C133" s="37"/>
    </row>
    <row r="134" spans="1:3" ht="12.75">
      <c r="A134" s="3"/>
      <c r="B134" s="41" t="s">
        <v>92</v>
      </c>
      <c r="C134" s="42">
        <v>37111.43</v>
      </c>
    </row>
    <row r="135" spans="1:3" ht="12.75">
      <c r="A135" s="3"/>
      <c r="B135" s="41" t="s">
        <v>93</v>
      </c>
      <c r="C135" s="42">
        <v>500.01</v>
      </c>
    </row>
    <row r="136" spans="1:3" ht="12.75">
      <c r="A136" s="3"/>
      <c r="B136" s="3" t="s">
        <v>94</v>
      </c>
      <c r="C136" s="37">
        <v>67633.09</v>
      </c>
    </row>
    <row r="137" spans="1:3" ht="12.75">
      <c r="A137" s="34" t="s">
        <v>95</v>
      </c>
      <c r="B137" s="34"/>
      <c r="C137" s="47">
        <v>2759.6</v>
      </c>
    </row>
    <row r="138" spans="1:3" ht="12.75">
      <c r="A138" s="34" t="s">
        <v>96</v>
      </c>
      <c r="B138" s="34"/>
      <c r="C138" s="47">
        <v>3700111.48</v>
      </c>
    </row>
    <row r="139" spans="1:3" ht="12.75">
      <c r="A139" s="40"/>
      <c r="B139" s="40"/>
      <c r="C139" s="36"/>
    </row>
    <row r="140" spans="1:3" ht="12.75">
      <c r="A140" s="34" t="s">
        <v>97</v>
      </c>
      <c r="B140" s="34"/>
      <c r="C140" s="47">
        <v>313297.14</v>
      </c>
    </row>
    <row r="141" spans="1:3" ht="12.75">
      <c r="A141" s="3"/>
      <c r="B141" s="3"/>
      <c r="C141" s="42"/>
    </row>
    <row r="142" spans="1:3" ht="12.75">
      <c r="A142" s="40" t="s">
        <v>98</v>
      </c>
      <c r="C142" s="42"/>
    </row>
    <row r="143" spans="1:3" ht="12.75">
      <c r="A143" s="48" t="s">
        <v>99</v>
      </c>
      <c r="B143" s="34"/>
      <c r="C143" s="46">
        <v>-241843.73</v>
      </c>
    </row>
    <row r="144" spans="1:3" ht="12.75">
      <c r="A144" s="34" t="s">
        <v>100</v>
      </c>
      <c r="B144" s="49"/>
      <c r="C144" s="47">
        <v>453982.21</v>
      </c>
    </row>
    <row r="145" spans="1:3" ht="12.75">
      <c r="A145" s="40" t="s">
        <v>101</v>
      </c>
      <c r="B145" s="40"/>
      <c r="C145" s="36">
        <v>28708.61</v>
      </c>
    </row>
    <row r="146" spans="1:3" ht="12.75">
      <c r="A146" s="40" t="s">
        <v>103</v>
      </c>
      <c r="B146" s="40"/>
      <c r="C146" s="36">
        <v>55266.42</v>
      </c>
    </row>
    <row r="147" spans="1:3" ht="12.75">
      <c r="A147" s="40" t="s">
        <v>106</v>
      </c>
      <c r="B147" s="40"/>
      <c r="C147" s="36">
        <v>370007.18</v>
      </c>
    </row>
    <row r="148" spans="1:3" ht="12.75">
      <c r="A148" s="40" t="s">
        <v>107</v>
      </c>
      <c r="B148" s="40"/>
      <c r="C148" s="36">
        <v>0</v>
      </c>
    </row>
    <row r="149" spans="1:3" ht="12.75">
      <c r="A149" s="34" t="s">
        <v>108</v>
      </c>
      <c r="B149" s="49"/>
      <c r="C149" s="47">
        <v>964412.25</v>
      </c>
    </row>
    <row r="150" spans="1:3" ht="12.75">
      <c r="A150" s="34" t="s">
        <v>109</v>
      </c>
      <c r="B150" s="49"/>
      <c r="C150" s="47">
        <v>4210541.52</v>
      </c>
    </row>
    <row r="151" spans="1:3" ht="12.75">
      <c r="A151" s="3"/>
      <c r="B151" s="3"/>
      <c r="C151" s="42"/>
    </row>
    <row r="152" spans="1:3" ht="12.75">
      <c r="A152" s="40" t="s">
        <v>110</v>
      </c>
      <c r="C152" s="42"/>
    </row>
    <row r="153" spans="1:3" ht="12.75">
      <c r="A153" s="34" t="s">
        <v>111</v>
      </c>
      <c r="B153" s="49"/>
      <c r="C153" s="47">
        <v>-438976.6299999994</v>
      </c>
    </row>
    <row r="154" spans="1:3" ht="12.75">
      <c r="A154" s="3"/>
      <c r="B154" s="3"/>
      <c r="C154" s="42"/>
    </row>
    <row r="155" spans="1:3" ht="12.75">
      <c r="A155" s="34" t="s">
        <v>112</v>
      </c>
      <c r="B155" s="49"/>
      <c r="C155" s="47">
        <v>-438976.6299999994</v>
      </c>
    </row>
    <row r="156" spans="1:3" ht="12.75">
      <c r="A156" s="40"/>
      <c r="B156" s="3"/>
      <c r="C156" s="36"/>
    </row>
    <row r="157" spans="1:3" ht="12.75">
      <c r="A157" s="34" t="s">
        <v>113</v>
      </c>
      <c r="B157" s="49"/>
      <c r="C157" s="47">
        <v>0</v>
      </c>
    </row>
    <row r="158" spans="1:3" ht="12.75">
      <c r="A158" s="3"/>
      <c r="B158" s="3" t="s">
        <v>114</v>
      </c>
      <c r="C158" s="3">
        <v>-13284.23</v>
      </c>
    </row>
    <row r="159" spans="1:3" ht="12.75">
      <c r="A159" s="3"/>
      <c r="B159" s="3" t="s">
        <v>115</v>
      </c>
      <c r="C159" s="3">
        <v>264931.91</v>
      </c>
    </row>
    <row r="160" spans="1:3" ht="12.75">
      <c r="A160" s="3"/>
      <c r="B160" s="3" t="s">
        <v>116</v>
      </c>
      <c r="C160" s="3">
        <v>-16331</v>
      </c>
    </row>
    <row r="161" spans="1:3" ht="12.75">
      <c r="A161" s="48" t="s">
        <v>117</v>
      </c>
      <c r="B161" s="48"/>
      <c r="C161" s="48">
        <v>77980.46</v>
      </c>
    </row>
  </sheetData>
  <mergeCells count="1">
    <mergeCell ref="A91:B9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E153"/>
  <sheetViews>
    <sheetView workbookViewId="0" topLeftCell="A148">
      <selection activeCell="G94" sqref="G94"/>
    </sheetView>
  </sheetViews>
  <sheetFormatPr defaultColWidth="9.140625" defaultRowHeight="12.75"/>
  <cols>
    <col min="1" max="1" width="5.140625" style="0" customWidth="1"/>
    <col min="2" max="2" width="5.7109375" style="0" customWidth="1"/>
    <col min="3" max="3" width="4.421875" style="0" customWidth="1"/>
    <col min="4" max="4" width="48.28125" style="0" customWidth="1"/>
    <col min="5" max="5" width="22.57421875" style="0" customWidth="1"/>
    <col min="7" max="7" width="15.8515625" style="0" bestFit="1" customWidth="1"/>
  </cols>
  <sheetData>
    <row r="2" ht="12.75">
      <c r="D2" s="28" t="s">
        <v>246</v>
      </c>
    </row>
    <row r="4" spans="4:5" ht="15.75">
      <c r="D4" s="272" t="s">
        <v>218</v>
      </c>
      <c r="E4" s="28" t="s">
        <v>505</v>
      </c>
    </row>
    <row r="5" ht="13.5" thickBot="1"/>
    <row r="6" spans="1:5" ht="13.5" thickBot="1">
      <c r="A6" s="273" t="s">
        <v>219</v>
      </c>
      <c r="B6" s="274"/>
      <c r="C6" s="275"/>
      <c r="D6" s="276" t="s">
        <v>1191</v>
      </c>
      <c r="E6" s="277">
        <f>E8+E11+E19</f>
        <v>141161061.66</v>
      </c>
    </row>
    <row r="7" spans="1:5" ht="13.5" thickTop="1">
      <c r="A7" s="278"/>
      <c r="B7" s="217"/>
      <c r="C7" s="219"/>
      <c r="D7" s="219"/>
      <c r="E7" s="279"/>
    </row>
    <row r="8" spans="1:5" ht="12.75">
      <c r="A8" s="278"/>
      <c r="B8" s="217" t="s">
        <v>1193</v>
      </c>
      <c r="C8" s="219"/>
      <c r="D8" s="280" t="s">
        <v>1194</v>
      </c>
      <c r="E8" s="281">
        <f>SUM(E9:E10)</f>
        <v>96121.31</v>
      </c>
    </row>
    <row r="9" spans="1:5" ht="12.75">
      <c r="A9" s="278"/>
      <c r="B9" s="217"/>
      <c r="C9" s="219">
        <v>1</v>
      </c>
      <c r="D9" s="219" t="s">
        <v>220</v>
      </c>
      <c r="E9" s="279">
        <v>0</v>
      </c>
    </row>
    <row r="10" spans="1:5" ht="12.75">
      <c r="A10" s="278"/>
      <c r="B10" s="217"/>
      <c r="C10" s="219">
        <v>2</v>
      </c>
      <c r="D10" s="219" t="s">
        <v>1204</v>
      </c>
      <c r="E10" s="279">
        <v>96121.31</v>
      </c>
    </row>
    <row r="11" spans="1:5" ht="12.75">
      <c r="A11" s="278"/>
      <c r="B11" s="217" t="s">
        <v>1197</v>
      </c>
      <c r="C11" s="219"/>
      <c r="D11" s="280" t="s">
        <v>1068</v>
      </c>
      <c r="E11" s="281">
        <f>SUM(E12:E18)</f>
        <v>106768374.88999999</v>
      </c>
    </row>
    <row r="12" spans="1:5" ht="12.75">
      <c r="A12" s="278"/>
      <c r="B12" s="217"/>
      <c r="C12" s="219">
        <v>1</v>
      </c>
      <c r="D12" s="282" t="s">
        <v>1210</v>
      </c>
      <c r="E12" s="283">
        <v>90847.47</v>
      </c>
    </row>
    <row r="13" spans="1:5" ht="12.75">
      <c r="A13" s="278"/>
      <c r="B13" s="217"/>
      <c r="C13" s="219">
        <v>2</v>
      </c>
      <c r="D13" s="282" t="s">
        <v>1212</v>
      </c>
      <c r="E13" s="283">
        <v>1439962.9</v>
      </c>
    </row>
    <row r="14" spans="1:5" ht="12.75">
      <c r="A14" s="278"/>
      <c r="B14" s="217"/>
      <c r="C14" s="219">
        <v>3</v>
      </c>
      <c r="D14" s="219" t="s">
        <v>1215</v>
      </c>
      <c r="E14" s="283">
        <v>51282153.58</v>
      </c>
    </row>
    <row r="15" spans="1:5" ht="12.75">
      <c r="A15" s="278"/>
      <c r="B15" s="217"/>
      <c r="C15" s="219">
        <v>4</v>
      </c>
      <c r="D15" s="219" t="s">
        <v>221</v>
      </c>
      <c r="E15" s="279">
        <v>49087211.02</v>
      </c>
    </row>
    <row r="16" spans="1:5" ht="12.75">
      <c r="A16" s="278"/>
      <c r="B16" s="217"/>
      <c r="C16" s="219">
        <v>5</v>
      </c>
      <c r="D16" s="219" t="s">
        <v>1221</v>
      </c>
      <c r="E16" s="279">
        <v>2564516.85</v>
      </c>
    </row>
    <row r="17" spans="1:5" ht="12.75">
      <c r="A17" s="278"/>
      <c r="B17" s="217"/>
      <c r="C17" s="219">
        <v>6</v>
      </c>
      <c r="D17" s="219" t="s">
        <v>1225</v>
      </c>
      <c r="E17" s="279">
        <v>234985.6</v>
      </c>
    </row>
    <row r="18" spans="1:5" ht="12.75">
      <c r="A18" s="278"/>
      <c r="B18" s="217"/>
      <c r="C18" s="219">
        <v>7</v>
      </c>
      <c r="D18" s="219" t="s">
        <v>1223</v>
      </c>
      <c r="E18" s="279">
        <v>2068697.47</v>
      </c>
    </row>
    <row r="19" spans="1:5" ht="12.75">
      <c r="A19" s="278"/>
      <c r="B19" s="217" t="s">
        <v>1200</v>
      </c>
      <c r="C19" s="219"/>
      <c r="D19" s="280" t="s">
        <v>520</v>
      </c>
      <c r="E19" s="281">
        <v>34296565.46</v>
      </c>
    </row>
    <row r="20" spans="1:5" ht="12.75">
      <c r="A20" s="278"/>
      <c r="B20" s="217"/>
      <c r="C20" s="219"/>
      <c r="D20" s="219"/>
      <c r="E20" s="279"/>
    </row>
    <row r="21" spans="1:5" ht="13.5" thickBot="1">
      <c r="A21" s="284" t="s">
        <v>222</v>
      </c>
      <c r="B21" s="285"/>
      <c r="C21" s="286"/>
      <c r="D21" s="287" t="s">
        <v>522</v>
      </c>
      <c r="E21" s="288">
        <f>E23+E26+E33</f>
        <v>26478595.57</v>
      </c>
    </row>
    <row r="22" spans="1:5" ht="13.5" thickTop="1">
      <c r="A22" s="278"/>
      <c r="B22" s="217"/>
      <c r="C22" s="219"/>
      <c r="D22" s="219"/>
      <c r="E22" s="279"/>
    </row>
    <row r="23" spans="1:5" ht="12.75">
      <c r="A23" s="278"/>
      <c r="B23" s="217" t="s">
        <v>1193</v>
      </c>
      <c r="C23" s="219"/>
      <c r="D23" s="280" t="s">
        <v>524</v>
      </c>
      <c r="E23" s="281">
        <v>1221402.09</v>
      </c>
    </row>
    <row r="24" spans="1:5" ht="12.75">
      <c r="A24" s="278"/>
      <c r="B24" s="217"/>
      <c r="C24" s="219">
        <v>1</v>
      </c>
      <c r="D24" s="282" t="s">
        <v>533</v>
      </c>
      <c r="E24" s="283">
        <v>1205802.09</v>
      </c>
    </row>
    <row r="25" spans="1:5" ht="12.75">
      <c r="A25" s="278"/>
      <c r="B25" s="217"/>
      <c r="C25" s="219">
        <v>2</v>
      </c>
      <c r="D25" s="219" t="s">
        <v>535</v>
      </c>
      <c r="E25" s="289">
        <v>15600</v>
      </c>
    </row>
    <row r="26" spans="1:5" ht="12.75">
      <c r="A26" s="278"/>
      <c r="B26" s="217" t="s">
        <v>1197</v>
      </c>
      <c r="C26" s="219"/>
      <c r="D26" s="280" t="s">
        <v>537</v>
      </c>
      <c r="E26" s="281">
        <f>SUM(E27:E29)</f>
        <v>24968986.71</v>
      </c>
    </row>
    <row r="27" spans="1:5" ht="12.75">
      <c r="A27" s="278"/>
      <c r="B27" s="217"/>
      <c r="C27" s="219">
        <v>1</v>
      </c>
      <c r="D27" s="219" t="s">
        <v>539</v>
      </c>
      <c r="E27" s="279">
        <v>24925721.41</v>
      </c>
    </row>
    <row r="28" spans="1:5" ht="12.75">
      <c r="A28" s="278"/>
      <c r="B28" s="217"/>
      <c r="C28" s="219">
        <v>2</v>
      </c>
      <c r="D28" s="219" t="s">
        <v>223</v>
      </c>
      <c r="E28" s="279">
        <v>9471.11</v>
      </c>
    </row>
    <row r="29" spans="1:5" ht="12.75">
      <c r="A29" s="278"/>
      <c r="B29" s="217"/>
      <c r="C29" s="219">
        <v>3</v>
      </c>
      <c r="D29" s="219" t="s">
        <v>545</v>
      </c>
      <c r="E29" s="279">
        <v>33794.19</v>
      </c>
    </row>
    <row r="30" spans="1:5" ht="12.75">
      <c r="A30" s="278"/>
      <c r="B30" s="217" t="s">
        <v>1200</v>
      </c>
      <c r="C30" s="219"/>
      <c r="D30" s="290" t="s">
        <v>224</v>
      </c>
      <c r="E30" s="281">
        <f>SUM(E31:E32)</f>
        <v>0</v>
      </c>
    </row>
    <row r="31" spans="1:5" ht="12.75">
      <c r="A31" s="278"/>
      <c r="B31" s="217"/>
      <c r="C31" s="219">
        <v>1</v>
      </c>
      <c r="D31" s="291" t="s">
        <v>225</v>
      </c>
      <c r="E31" s="279">
        <v>0</v>
      </c>
    </row>
    <row r="32" spans="1:5" ht="12.75">
      <c r="A32" s="278"/>
      <c r="B32" s="217"/>
      <c r="C32" s="219">
        <v>2</v>
      </c>
      <c r="D32" s="291" t="s">
        <v>553</v>
      </c>
      <c r="E32" s="279">
        <v>0</v>
      </c>
    </row>
    <row r="33" spans="1:5" ht="12.75">
      <c r="A33" s="278"/>
      <c r="B33" s="217" t="s">
        <v>1213</v>
      </c>
      <c r="C33" s="219"/>
      <c r="D33" s="280" t="s">
        <v>50</v>
      </c>
      <c r="E33" s="281">
        <f>SUM(E34:E36)</f>
        <v>288206.76999999996</v>
      </c>
    </row>
    <row r="34" spans="1:5" ht="12.75">
      <c r="A34" s="278"/>
      <c r="B34" s="217"/>
      <c r="C34" s="219">
        <v>1</v>
      </c>
      <c r="D34" s="219" t="s">
        <v>52</v>
      </c>
      <c r="E34" s="279">
        <v>2280.11</v>
      </c>
    </row>
    <row r="35" spans="1:5" ht="12.75">
      <c r="A35" s="278"/>
      <c r="B35" s="217"/>
      <c r="C35" s="219">
        <v>2</v>
      </c>
      <c r="D35" s="219" t="s">
        <v>226</v>
      </c>
      <c r="E35" s="279">
        <v>285926.66</v>
      </c>
    </row>
    <row r="36" spans="1:5" ht="12.75">
      <c r="A36" s="278"/>
      <c r="B36" s="217"/>
      <c r="C36" s="219">
        <v>3</v>
      </c>
      <c r="D36" s="219" t="s">
        <v>559</v>
      </c>
      <c r="E36" s="279"/>
    </row>
    <row r="37" spans="1:5" ht="12.75">
      <c r="A37" s="278"/>
      <c r="B37" s="217"/>
      <c r="C37" s="219"/>
      <c r="D37" s="219"/>
      <c r="E37" s="279"/>
    </row>
    <row r="38" spans="1:5" ht="13.5" thickBot="1">
      <c r="A38" s="284" t="s">
        <v>227</v>
      </c>
      <c r="B38" s="285"/>
      <c r="C38" s="286"/>
      <c r="D38" s="287" t="s">
        <v>561</v>
      </c>
      <c r="E38" s="288">
        <f>SUM(E39:E40)</f>
        <v>1103872.82</v>
      </c>
    </row>
    <row r="39" spans="1:5" ht="13.5" thickTop="1">
      <c r="A39" s="292"/>
      <c r="B39" s="293"/>
      <c r="C39" s="294">
        <v>1</v>
      </c>
      <c r="D39" s="295" t="s">
        <v>228</v>
      </c>
      <c r="E39" s="296">
        <v>426673.16</v>
      </c>
    </row>
    <row r="40" spans="1:5" ht="12.75">
      <c r="A40" s="278"/>
      <c r="B40" s="217"/>
      <c r="C40" s="219">
        <v>2</v>
      </c>
      <c r="D40" s="219" t="s">
        <v>565</v>
      </c>
      <c r="E40" s="279">
        <v>677199.66</v>
      </c>
    </row>
    <row r="41" spans="1:5" ht="13.5" thickBot="1">
      <c r="A41" s="297"/>
      <c r="B41" s="298"/>
      <c r="C41" s="299"/>
      <c r="D41" s="299"/>
      <c r="E41" s="300">
        <v>88184.29</v>
      </c>
    </row>
    <row r="42" spans="1:5" ht="16.5" thickBot="1">
      <c r="A42" s="301"/>
      <c r="B42" s="301"/>
      <c r="C42" s="302"/>
      <c r="D42" s="303" t="s">
        <v>229</v>
      </c>
      <c r="E42" s="304">
        <f>E6+E21+E30+E38</f>
        <v>168743530.04999998</v>
      </c>
    </row>
    <row r="43" spans="1:5" ht="12.75">
      <c r="A43" s="305"/>
      <c r="B43" s="305"/>
      <c r="C43" s="53"/>
      <c r="D43" s="53"/>
      <c r="E43" s="306"/>
    </row>
    <row r="45" ht="15.75">
      <c r="D45" s="272" t="s">
        <v>230</v>
      </c>
    </row>
    <row r="47" ht="13.5" thickBot="1"/>
    <row r="48" spans="1:5" ht="13.5" thickBot="1">
      <c r="A48" s="307"/>
      <c r="B48" s="275"/>
      <c r="C48" s="275"/>
      <c r="D48" s="276" t="s">
        <v>231</v>
      </c>
      <c r="E48" s="277">
        <f>SUM(E50:E53)</f>
        <v>15277005.43</v>
      </c>
    </row>
    <row r="49" spans="1:5" ht="13.5" thickTop="1">
      <c r="A49" s="308"/>
      <c r="B49" s="219"/>
      <c r="C49" s="219"/>
      <c r="D49" s="219"/>
      <c r="E49" s="279"/>
    </row>
    <row r="50" spans="1:5" ht="12.75">
      <c r="A50" s="278"/>
      <c r="B50" s="217" t="s">
        <v>1193</v>
      </c>
      <c r="C50" s="219"/>
      <c r="D50" s="219" t="s">
        <v>232</v>
      </c>
      <c r="E50" s="279">
        <v>14500000</v>
      </c>
    </row>
    <row r="51" spans="1:5" ht="12.75">
      <c r="A51" s="278"/>
      <c r="B51" s="217" t="s">
        <v>1197</v>
      </c>
      <c r="C51" s="219"/>
      <c r="D51" s="219" t="s">
        <v>233</v>
      </c>
      <c r="E51" s="279">
        <v>6715416.81</v>
      </c>
    </row>
    <row r="52" spans="1:5" ht="12.75">
      <c r="A52" s="278"/>
      <c r="B52" s="217" t="s">
        <v>1200</v>
      </c>
      <c r="C52" s="219"/>
      <c r="D52" s="219" t="s">
        <v>234</v>
      </c>
      <c r="E52" s="279"/>
    </row>
    <row r="53" spans="1:5" ht="12.75">
      <c r="A53" s="278"/>
      <c r="B53" s="217" t="s">
        <v>1213</v>
      </c>
      <c r="C53" s="219"/>
      <c r="D53" s="219" t="s">
        <v>235</v>
      </c>
      <c r="E53" s="279">
        <v>-5938411.38</v>
      </c>
    </row>
    <row r="54" spans="1:5" ht="12.75">
      <c r="A54" s="278"/>
      <c r="B54" s="217"/>
      <c r="C54" s="219"/>
      <c r="D54" s="219"/>
      <c r="E54" s="279"/>
    </row>
    <row r="55" spans="1:5" ht="13.5" thickBot="1">
      <c r="A55" s="284" t="s">
        <v>222</v>
      </c>
      <c r="B55" s="285"/>
      <c r="C55" s="286"/>
      <c r="D55" s="287" t="s">
        <v>516</v>
      </c>
      <c r="E55" s="288">
        <f>SUM(E57:E58)</f>
        <v>3302999.39</v>
      </c>
    </row>
    <row r="56" spans="1:5" ht="13.5" thickTop="1">
      <c r="A56" s="309"/>
      <c r="B56" s="293"/>
      <c r="C56" s="294"/>
      <c r="D56" s="293"/>
      <c r="E56" s="310"/>
    </row>
    <row r="57" spans="1:5" ht="12.75">
      <c r="A57" s="278"/>
      <c r="B57" s="217"/>
      <c r="C57" s="219">
        <v>1</v>
      </c>
      <c r="D57" s="219" t="s">
        <v>518</v>
      </c>
      <c r="E57" s="279">
        <v>3302999.39</v>
      </c>
    </row>
    <row r="58" spans="1:5" ht="12.75">
      <c r="A58" s="278"/>
      <c r="B58" s="217"/>
      <c r="C58" s="219">
        <v>2</v>
      </c>
      <c r="D58" s="219" t="s">
        <v>521</v>
      </c>
      <c r="E58" s="279"/>
    </row>
    <row r="59" spans="1:5" ht="12.75">
      <c r="A59" s="278"/>
      <c r="B59" s="217"/>
      <c r="C59" s="219"/>
      <c r="D59" s="219"/>
      <c r="E59" s="279"/>
    </row>
    <row r="60" spans="1:5" ht="13.5" thickBot="1">
      <c r="A60" s="284" t="s">
        <v>227</v>
      </c>
      <c r="B60" s="285"/>
      <c r="C60" s="286"/>
      <c r="D60" s="287" t="s">
        <v>236</v>
      </c>
      <c r="E60" s="288">
        <f>SUM(E62:E63)</f>
        <v>73285362.85</v>
      </c>
    </row>
    <row r="61" spans="1:5" ht="13.5" thickTop="1">
      <c r="A61" s="278"/>
      <c r="B61" s="217"/>
      <c r="C61" s="219"/>
      <c r="D61" s="219"/>
      <c r="E61" s="279"/>
    </row>
    <row r="62" spans="1:5" ht="12.75">
      <c r="A62" s="278"/>
      <c r="B62" s="217"/>
      <c r="C62" s="219">
        <v>1</v>
      </c>
      <c r="D62" s="219" t="s">
        <v>527</v>
      </c>
      <c r="E62" s="279">
        <v>73196560.05</v>
      </c>
    </row>
    <row r="63" spans="1:5" ht="12.75">
      <c r="A63" s="278"/>
      <c r="B63" s="217"/>
      <c r="C63" s="219">
        <v>2</v>
      </c>
      <c r="D63" s="219" t="s">
        <v>529</v>
      </c>
      <c r="E63" s="279">
        <v>88802.8</v>
      </c>
    </row>
    <row r="64" spans="1:5" ht="12.75">
      <c r="A64" s="278"/>
      <c r="B64" s="217"/>
      <c r="C64" s="219"/>
      <c r="D64" s="219"/>
      <c r="E64" s="279"/>
    </row>
    <row r="65" spans="1:5" ht="26.25" thickBot="1">
      <c r="A65" s="284" t="s">
        <v>237</v>
      </c>
      <c r="B65" s="285"/>
      <c r="C65" s="286"/>
      <c r="D65" s="311" t="s">
        <v>238</v>
      </c>
      <c r="E65" s="288">
        <f>E67+E75</f>
        <v>64101929.64</v>
      </c>
    </row>
    <row r="66" spans="1:5" ht="13.5" thickTop="1">
      <c r="A66" s="278"/>
      <c r="B66" s="217"/>
      <c r="C66" s="219"/>
      <c r="D66" s="219"/>
      <c r="E66" s="279"/>
    </row>
    <row r="67" spans="1:5" ht="12.75">
      <c r="A67" s="278"/>
      <c r="B67" s="217" t="s">
        <v>1193</v>
      </c>
      <c r="C67" s="219"/>
      <c r="D67" s="280" t="s">
        <v>239</v>
      </c>
      <c r="E67" s="281">
        <f>SUM(E68:E74)</f>
        <v>64032996.47</v>
      </c>
    </row>
    <row r="68" spans="1:5" ht="12.75">
      <c r="A68" s="312"/>
      <c r="B68" s="228"/>
      <c r="C68" s="291">
        <v>1</v>
      </c>
      <c r="D68" s="291" t="s">
        <v>240</v>
      </c>
      <c r="E68" s="313">
        <v>10000000</v>
      </c>
    </row>
    <row r="69" spans="1:5" ht="12.75">
      <c r="A69" s="278"/>
      <c r="B69" s="217"/>
      <c r="C69" s="219">
        <v>2</v>
      </c>
      <c r="D69" s="219" t="s">
        <v>540</v>
      </c>
      <c r="E69" s="279">
        <v>49496725.33</v>
      </c>
    </row>
    <row r="70" spans="1:5" ht="12.75">
      <c r="A70" s="278"/>
      <c r="B70" s="217"/>
      <c r="C70" s="291">
        <v>3</v>
      </c>
      <c r="D70" s="219" t="s">
        <v>542</v>
      </c>
      <c r="E70" s="279">
        <v>263433.34</v>
      </c>
    </row>
    <row r="71" spans="1:5" ht="12.75">
      <c r="A71" s="278"/>
      <c r="B71" s="217"/>
      <c r="C71" s="219">
        <v>4</v>
      </c>
      <c r="D71" s="219" t="s">
        <v>544</v>
      </c>
      <c r="E71" s="279">
        <v>2292198.51</v>
      </c>
    </row>
    <row r="72" spans="1:5" ht="12.75">
      <c r="A72" s="278"/>
      <c r="B72" s="217"/>
      <c r="C72" s="291">
        <v>5</v>
      </c>
      <c r="D72" s="219" t="s">
        <v>241</v>
      </c>
      <c r="E72" s="279">
        <v>1848769.22</v>
      </c>
    </row>
    <row r="73" spans="1:5" ht="12.75">
      <c r="A73" s="278"/>
      <c r="B73" s="217"/>
      <c r="C73" s="219">
        <v>6</v>
      </c>
      <c r="D73" s="219" t="s">
        <v>550</v>
      </c>
      <c r="E73" s="279">
        <v>0</v>
      </c>
    </row>
    <row r="74" spans="1:5" ht="12.75">
      <c r="A74" s="278"/>
      <c r="B74" s="217"/>
      <c r="C74" s="291">
        <v>7</v>
      </c>
      <c r="D74" s="219" t="s">
        <v>1034</v>
      </c>
      <c r="E74" s="279">
        <v>131870.07</v>
      </c>
    </row>
    <row r="75" spans="1:5" ht="12.75">
      <c r="A75" s="278"/>
      <c r="B75" s="217" t="s">
        <v>1197</v>
      </c>
      <c r="C75" s="219"/>
      <c r="D75" s="280" t="s">
        <v>1032</v>
      </c>
      <c r="E75" s="281">
        <v>68933.17</v>
      </c>
    </row>
    <row r="76" spans="1:5" ht="12.75">
      <c r="A76" s="278"/>
      <c r="B76" s="217"/>
      <c r="C76" s="219"/>
      <c r="D76" s="219"/>
      <c r="E76" s="279">
        <v>74</v>
      </c>
    </row>
    <row r="77" spans="1:5" ht="26.25" thickBot="1">
      <c r="A77" s="284" t="s">
        <v>242</v>
      </c>
      <c r="B77" s="285"/>
      <c r="C77" s="286"/>
      <c r="D77" s="314" t="s">
        <v>243</v>
      </c>
      <c r="E77" s="288">
        <f>SUM(E79:E80)</f>
        <v>12776232.74</v>
      </c>
    </row>
    <row r="78" spans="1:5" ht="13.5" thickTop="1">
      <c r="A78" s="278"/>
      <c r="B78" s="217"/>
      <c r="C78" s="219"/>
      <c r="D78" s="219"/>
      <c r="E78" s="279"/>
    </row>
    <row r="79" spans="1:5" ht="12.75">
      <c r="A79" s="278"/>
      <c r="B79" s="217"/>
      <c r="C79" s="219">
        <v>1</v>
      </c>
      <c r="D79" s="219" t="s">
        <v>244</v>
      </c>
      <c r="E79" s="315">
        <v>0</v>
      </c>
    </row>
    <row r="80" spans="1:5" ht="13.5" thickBot="1">
      <c r="A80" s="297"/>
      <c r="B80" s="217"/>
      <c r="C80" s="219">
        <v>2</v>
      </c>
      <c r="D80" s="299" t="s">
        <v>566</v>
      </c>
      <c r="E80" s="279">
        <v>12776232.74</v>
      </c>
    </row>
    <row r="81" spans="1:5" ht="13.5" thickBot="1">
      <c r="A81" s="316"/>
      <c r="B81" s="217"/>
      <c r="C81" s="219"/>
      <c r="D81" s="317"/>
      <c r="E81" s="279">
        <v>67</v>
      </c>
    </row>
    <row r="82" spans="1:5" ht="16.5" thickBot="1">
      <c r="A82" s="318"/>
      <c r="B82" s="301"/>
      <c r="C82" s="302"/>
      <c r="D82" s="319" t="s">
        <v>245</v>
      </c>
      <c r="E82" s="304">
        <f>E48+E55+E60+E65+E77</f>
        <v>168743530.05</v>
      </c>
    </row>
    <row r="85" ht="13.5" thickBot="1"/>
    <row r="86" spans="4:5" ht="15" thickBot="1">
      <c r="D86" s="320" t="s">
        <v>247</v>
      </c>
      <c r="E86" s="321"/>
    </row>
    <row r="87" spans="4:5" ht="15" thickBot="1">
      <c r="D87" s="322" t="s">
        <v>248</v>
      </c>
      <c r="E87" s="323">
        <v>37072</v>
      </c>
    </row>
    <row r="88" spans="4:5" ht="12.75">
      <c r="D88" s="324"/>
      <c r="E88" s="325"/>
    </row>
    <row r="89" ht="16.5" thickBot="1">
      <c r="D89" s="130" t="s">
        <v>249</v>
      </c>
    </row>
    <row r="90" spans="4:5" ht="12.75">
      <c r="D90" s="494" t="s">
        <v>250</v>
      </c>
      <c r="E90" s="495">
        <v>27271607.76</v>
      </c>
    </row>
    <row r="91" spans="4:5" ht="12.75">
      <c r="D91" s="53" t="s">
        <v>251</v>
      </c>
      <c r="E91" s="496">
        <v>26663363.4</v>
      </c>
    </row>
    <row r="92" spans="4:5" ht="12.75">
      <c r="D92" s="53" t="s">
        <v>252</v>
      </c>
      <c r="E92" s="496">
        <v>1249817.71</v>
      </c>
    </row>
    <row r="93" spans="4:5" ht="12.75">
      <c r="D93" s="53" t="s">
        <v>253</v>
      </c>
      <c r="E93" s="496">
        <v>23471050.96</v>
      </c>
    </row>
    <row r="94" spans="4:5" ht="12.75">
      <c r="D94" s="53" t="s">
        <v>254</v>
      </c>
      <c r="E94" s="496">
        <v>-747154.65</v>
      </c>
    </row>
    <row r="95" spans="4:5" ht="12.75">
      <c r="D95" s="53" t="s">
        <v>255</v>
      </c>
      <c r="E95" s="496">
        <v>2605032.99</v>
      </c>
    </row>
    <row r="96" spans="4:5" ht="12.75">
      <c r="D96" s="53" t="s">
        <v>1454</v>
      </c>
      <c r="E96" s="496">
        <v>22958.55</v>
      </c>
    </row>
    <row r="97" spans="4:5" ht="12.75">
      <c r="D97" s="53" t="s">
        <v>256</v>
      </c>
      <c r="E97" s="496">
        <v>42931.61</v>
      </c>
    </row>
    <row r="98" spans="4:5" ht="12.75">
      <c r="D98" s="53" t="s">
        <v>257</v>
      </c>
      <c r="E98" s="496">
        <v>18726.23</v>
      </c>
    </row>
    <row r="99" spans="4:5" ht="12.75">
      <c r="D99" s="53" t="s">
        <v>102</v>
      </c>
      <c r="E99" s="496">
        <v>-13536.83</v>
      </c>
    </row>
    <row r="100" spans="4:5" ht="12.75">
      <c r="D100" s="53" t="s">
        <v>258</v>
      </c>
      <c r="E100" s="496">
        <v>621781.19</v>
      </c>
    </row>
    <row r="101" spans="4:5" ht="12.75">
      <c r="D101" s="53" t="s">
        <v>259</v>
      </c>
      <c r="E101" s="496">
        <v>26188449.34</v>
      </c>
    </row>
    <row r="102" spans="4:5" ht="12.75">
      <c r="D102" s="53" t="s">
        <v>260</v>
      </c>
      <c r="E102" s="496">
        <v>139623.11</v>
      </c>
    </row>
    <row r="103" spans="4:5" ht="12.75">
      <c r="D103" s="53" t="s">
        <v>261</v>
      </c>
      <c r="E103" s="496">
        <v>21223.44</v>
      </c>
    </row>
    <row r="104" spans="4:5" ht="12.75">
      <c r="D104" s="53" t="s">
        <v>1104</v>
      </c>
      <c r="E104" s="496">
        <v>118399.67</v>
      </c>
    </row>
    <row r="105" spans="4:5" ht="12.75">
      <c r="D105" s="53" t="s">
        <v>104</v>
      </c>
      <c r="E105" s="496">
        <v>1186102.12</v>
      </c>
    </row>
    <row r="106" spans="4:5" ht="12.75">
      <c r="D106" s="53" t="s">
        <v>262</v>
      </c>
      <c r="E106" s="496">
        <v>493340.51</v>
      </c>
    </row>
    <row r="107" spans="4:5" ht="12.75">
      <c r="D107" s="53" t="s">
        <v>263</v>
      </c>
      <c r="E107" s="496">
        <v>134041.4</v>
      </c>
    </row>
    <row r="108" spans="4:5" ht="12.75">
      <c r="D108" s="53" t="s">
        <v>1104</v>
      </c>
      <c r="E108" s="496">
        <v>558720.21</v>
      </c>
    </row>
    <row r="109" spans="4:5" ht="12.75">
      <c r="D109" s="53" t="s">
        <v>105</v>
      </c>
      <c r="E109" s="496">
        <v>83777.24</v>
      </c>
    </row>
    <row r="110" spans="4:5" ht="12.75">
      <c r="D110" s="53" t="s">
        <v>580</v>
      </c>
      <c r="E110" s="496">
        <v>2141787.67</v>
      </c>
    </row>
    <row r="111" spans="4:5" ht="12.75">
      <c r="D111" s="53" t="s">
        <v>264</v>
      </c>
      <c r="E111" s="496">
        <v>1977552.64</v>
      </c>
    </row>
    <row r="112" spans="4:5" ht="12.75">
      <c r="D112" s="53" t="s">
        <v>265</v>
      </c>
      <c r="E112" s="496">
        <v>135250.03</v>
      </c>
    </row>
    <row r="113" spans="4:5" ht="12.75">
      <c r="D113" s="53" t="s">
        <v>266</v>
      </c>
      <c r="E113" s="496">
        <v>28985</v>
      </c>
    </row>
    <row r="114" spans="4:5" ht="12.75">
      <c r="D114" s="53" t="s">
        <v>163</v>
      </c>
      <c r="E114" s="496">
        <v>523064.89</v>
      </c>
    </row>
    <row r="115" spans="4:5" ht="12.75">
      <c r="D115" s="53" t="s">
        <v>267</v>
      </c>
      <c r="E115" s="496">
        <v>365899.6</v>
      </c>
    </row>
    <row r="116" spans="4:5" ht="12.75">
      <c r="D116" s="53" t="s">
        <v>268</v>
      </c>
      <c r="E116" s="496">
        <v>20514.88</v>
      </c>
    </row>
    <row r="117" spans="4:5" ht="12.75">
      <c r="D117" s="53" t="s">
        <v>269</v>
      </c>
      <c r="E117" s="496">
        <v>35581.76</v>
      </c>
    </row>
    <row r="118" spans="4:5" ht="12.75">
      <c r="D118" s="53" t="s">
        <v>1104</v>
      </c>
      <c r="E118" s="496">
        <v>101068.65</v>
      </c>
    </row>
    <row r="119" spans="4:5" ht="12.75">
      <c r="D119" s="53" t="s">
        <v>582</v>
      </c>
      <c r="E119" s="496">
        <v>21177952.27</v>
      </c>
    </row>
    <row r="120" spans="4:5" ht="12.75">
      <c r="D120" s="53" t="s">
        <v>270</v>
      </c>
      <c r="E120" s="496">
        <v>20988995.39</v>
      </c>
    </row>
    <row r="121" spans="4:5" ht="12.75">
      <c r="D121" s="53" t="s">
        <v>271</v>
      </c>
      <c r="E121" s="496">
        <v>188956.88</v>
      </c>
    </row>
    <row r="122" spans="4:5" ht="12.75">
      <c r="D122" s="53" t="s">
        <v>272</v>
      </c>
      <c r="E122" s="496">
        <v>252149.24</v>
      </c>
    </row>
    <row r="123" spans="4:5" ht="12.75">
      <c r="D123" s="53" t="s">
        <v>273</v>
      </c>
      <c r="E123" s="496">
        <v>19927.68</v>
      </c>
    </row>
    <row r="124" spans="4:5" ht="12.75">
      <c r="D124" s="53" t="s">
        <v>274</v>
      </c>
      <c r="E124" s="496">
        <v>61754.68</v>
      </c>
    </row>
    <row r="125" spans="4:5" ht="12.75">
      <c r="D125" s="53" t="s">
        <v>275</v>
      </c>
      <c r="E125" s="496">
        <v>29966.89</v>
      </c>
    </row>
    <row r="126" spans="4:5" ht="12.75">
      <c r="D126" s="53" t="s">
        <v>276</v>
      </c>
      <c r="E126" s="496">
        <v>134499.99</v>
      </c>
    </row>
    <row r="127" spans="4:5" ht="12.75">
      <c r="D127" s="53" t="s">
        <v>277</v>
      </c>
      <c r="E127" s="496">
        <v>6000</v>
      </c>
    </row>
    <row r="128" spans="4:5" ht="12.75">
      <c r="D128" s="53" t="s">
        <v>278</v>
      </c>
      <c r="E128" s="496">
        <v>683992.8</v>
      </c>
    </row>
    <row r="129" spans="4:5" ht="12.75">
      <c r="D129" s="497" t="s">
        <v>279</v>
      </c>
      <c r="E129" s="498">
        <v>1083158.42</v>
      </c>
    </row>
    <row r="130" spans="4:5" ht="12.75">
      <c r="D130" s="53" t="s">
        <v>280</v>
      </c>
      <c r="E130" s="496">
        <v>3259788.45</v>
      </c>
    </row>
    <row r="131" spans="4:5" ht="12.75">
      <c r="D131" s="53" t="s">
        <v>281</v>
      </c>
      <c r="E131" s="496">
        <v>3117318.39</v>
      </c>
    </row>
    <row r="132" spans="4:5" ht="12.75">
      <c r="D132" s="53" t="s">
        <v>68</v>
      </c>
      <c r="E132" s="496">
        <v>142470.06</v>
      </c>
    </row>
    <row r="133" spans="4:5" ht="12.75">
      <c r="D133" s="53" t="s">
        <v>282</v>
      </c>
      <c r="E133" s="496">
        <v>3354895.65</v>
      </c>
    </row>
    <row r="134" spans="4:5" ht="12.75">
      <c r="D134" s="53" t="s">
        <v>283</v>
      </c>
      <c r="E134" s="496">
        <v>3326468.42</v>
      </c>
    </row>
    <row r="135" spans="4:5" ht="12.75">
      <c r="D135" s="53" t="s">
        <v>588</v>
      </c>
      <c r="E135" s="496">
        <v>28427.23</v>
      </c>
    </row>
    <row r="136" spans="4:5" ht="12.75">
      <c r="D136" s="53" t="s">
        <v>284</v>
      </c>
      <c r="E136" s="496">
        <v>0</v>
      </c>
    </row>
    <row r="137" spans="4:5" ht="12.75">
      <c r="D137" s="497" t="s">
        <v>285</v>
      </c>
      <c r="E137" s="498">
        <v>998051.22</v>
      </c>
    </row>
    <row r="138" spans="4:5" ht="12.75">
      <c r="D138" s="53" t="s">
        <v>286</v>
      </c>
      <c r="E138" s="496">
        <v>1748589.02</v>
      </c>
    </row>
    <row r="139" spans="4:5" ht="12.75">
      <c r="D139" s="53" t="s">
        <v>287</v>
      </c>
      <c r="E139" s="496">
        <v>120489.63</v>
      </c>
    </row>
    <row r="140" spans="4:5" ht="12.75">
      <c r="D140" s="53" t="s">
        <v>288</v>
      </c>
      <c r="E140" s="496">
        <v>455855.04</v>
      </c>
    </row>
    <row r="141" spans="4:5" ht="12.75">
      <c r="D141" s="53" t="s">
        <v>906</v>
      </c>
      <c r="E141" s="496">
        <v>1172244.35</v>
      </c>
    </row>
    <row r="142" spans="4:5" ht="12.75">
      <c r="D142" s="53" t="s">
        <v>289</v>
      </c>
      <c r="E142" s="496">
        <v>8722394.98</v>
      </c>
    </row>
    <row r="143" spans="4:5" ht="12.75">
      <c r="D143" s="53" t="s">
        <v>290</v>
      </c>
      <c r="E143" s="496">
        <v>8825062.72</v>
      </c>
    </row>
    <row r="144" spans="4:5" ht="12.75">
      <c r="D144" s="53" t="s">
        <v>288</v>
      </c>
      <c r="E144" s="496">
        <v>37.05</v>
      </c>
    </row>
    <row r="145" spans="4:5" ht="12.75">
      <c r="D145" s="53" t="s">
        <v>906</v>
      </c>
      <c r="E145" s="496">
        <v>-102704.79</v>
      </c>
    </row>
    <row r="146" spans="4:5" ht="12.75">
      <c r="D146" s="497" t="s">
        <v>291</v>
      </c>
      <c r="E146" s="498">
        <v>-5985754.74</v>
      </c>
    </row>
    <row r="147" spans="4:5" ht="12.75">
      <c r="D147" s="53" t="s">
        <v>292</v>
      </c>
      <c r="E147" s="496">
        <v>295745.76</v>
      </c>
    </row>
    <row r="148" spans="4:5" ht="12.75">
      <c r="D148" s="53" t="s">
        <v>293</v>
      </c>
      <c r="E148" s="496">
        <v>248402.4</v>
      </c>
    </row>
    <row r="149" spans="4:5" ht="12.75">
      <c r="D149" s="53" t="s">
        <v>294</v>
      </c>
      <c r="E149" s="496">
        <v>-5938411.38</v>
      </c>
    </row>
    <row r="150" spans="4:5" ht="12.75">
      <c r="D150" s="53" t="s">
        <v>295</v>
      </c>
      <c r="E150" s="496">
        <v>0</v>
      </c>
    </row>
    <row r="151" spans="4:5" ht="12.75">
      <c r="D151" s="53" t="s">
        <v>608</v>
      </c>
      <c r="E151" s="496">
        <v>0</v>
      </c>
    </row>
    <row r="152" spans="4:5" ht="12.75">
      <c r="D152" s="53" t="s">
        <v>1483</v>
      </c>
      <c r="E152" s="496">
        <v>0</v>
      </c>
    </row>
    <row r="153" spans="4:5" ht="13.5" thickBot="1">
      <c r="D153" s="499" t="s">
        <v>296</v>
      </c>
      <c r="E153" s="500">
        <v>-5938411.38</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41"/>
  <sheetViews>
    <sheetView workbookViewId="0" topLeftCell="A1">
      <selection activeCell="G8" sqref="G8"/>
    </sheetView>
  </sheetViews>
  <sheetFormatPr defaultColWidth="9.140625" defaultRowHeight="12.75"/>
  <cols>
    <col min="5" max="5" width="19.57421875" style="0" customWidth="1"/>
    <col min="6" max="7" width="28.28125" style="0" customWidth="1"/>
  </cols>
  <sheetData>
    <row r="1" ht="12.75">
      <c r="B1" s="67" t="s">
        <v>963</v>
      </c>
    </row>
    <row r="2" ht="12.75">
      <c r="F2" s="28" t="s">
        <v>505</v>
      </c>
    </row>
    <row r="3" spans="1:6" ht="12.75">
      <c r="A3" s="51" t="s">
        <v>1578</v>
      </c>
      <c r="F3" s="51" t="s">
        <v>118</v>
      </c>
    </row>
    <row r="5" spans="1:6" ht="12.75">
      <c r="A5" s="52" t="s">
        <v>119</v>
      </c>
      <c r="B5" s="53"/>
      <c r="C5" s="53"/>
      <c r="D5" s="53"/>
      <c r="E5" s="53"/>
      <c r="F5" s="54">
        <f>F6+F12+F20</f>
        <v>34403297.269999996</v>
      </c>
    </row>
    <row r="6" spans="1:6" ht="12.75">
      <c r="A6" s="53" t="s">
        <v>120</v>
      </c>
      <c r="B6" s="53"/>
      <c r="C6" s="53"/>
      <c r="D6" s="53"/>
      <c r="E6" s="53"/>
      <c r="F6" s="55">
        <f>F7+F8+F9+F10</f>
        <v>2489353.35</v>
      </c>
    </row>
    <row r="7" spans="1:6" ht="12.75">
      <c r="A7" s="56" t="s">
        <v>121</v>
      </c>
      <c r="B7" s="53"/>
      <c r="C7" s="53"/>
      <c r="D7" s="53"/>
      <c r="E7" s="53"/>
      <c r="F7" s="55">
        <v>0</v>
      </c>
    </row>
    <row r="8" spans="1:6" ht="12.75">
      <c r="A8" s="53" t="s">
        <v>122</v>
      </c>
      <c r="B8" s="53"/>
      <c r="C8" s="53"/>
      <c r="D8" s="53"/>
      <c r="E8" s="53"/>
      <c r="F8" s="55">
        <v>0</v>
      </c>
    </row>
    <row r="9" spans="1:6" ht="12.75">
      <c r="A9" s="53" t="s">
        <v>123</v>
      </c>
      <c r="B9" s="53"/>
      <c r="C9" s="53"/>
      <c r="D9" s="53"/>
      <c r="E9" s="53"/>
      <c r="F9" s="55">
        <v>2008477.07</v>
      </c>
    </row>
    <row r="10" spans="1:6" ht="12.75">
      <c r="A10" s="53" t="s">
        <v>124</v>
      </c>
      <c r="B10" s="53"/>
      <c r="C10" s="53"/>
      <c r="D10" s="53"/>
      <c r="E10" s="53"/>
      <c r="F10" s="55">
        <v>480876.28</v>
      </c>
    </row>
    <row r="11" spans="1:6" ht="12.75">
      <c r="A11" s="53" t="s">
        <v>125</v>
      </c>
      <c r="B11" s="53"/>
      <c r="C11" s="53"/>
      <c r="D11" s="53"/>
      <c r="E11" s="53"/>
      <c r="F11" s="55">
        <v>0</v>
      </c>
    </row>
    <row r="12" spans="1:6" ht="12.75">
      <c r="A12" s="53" t="s">
        <v>126</v>
      </c>
      <c r="B12" s="53"/>
      <c r="C12" s="53"/>
      <c r="D12" s="53"/>
      <c r="E12" s="53"/>
      <c r="F12" s="55">
        <f>F13+F14+F15+F16+F18+F17</f>
        <v>24514553.83</v>
      </c>
    </row>
    <row r="13" spans="1:6" ht="12.75">
      <c r="A13" s="53" t="s">
        <v>127</v>
      </c>
      <c r="B13" s="53"/>
      <c r="C13" s="53"/>
      <c r="D13" s="53"/>
      <c r="E13" s="53"/>
      <c r="F13" s="57">
        <v>0</v>
      </c>
    </row>
    <row r="14" spans="1:6" ht="12.75">
      <c r="A14" s="53" t="s">
        <v>128</v>
      </c>
      <c r="B14" s="53"/>
      <c r="C14" s="53"/>
      <c r="D14" s="53"/>
      <c r="E14" s="53"/>
      <c r="F14" s="55">
        <v>17455195.22</v>
      </c>
    </row>
    <row r="15" spans="1:6" ht="12.75">
      <c r="A15" s="53" t="s">
        <v>129</v>
      </c>
      <c r="B15" s="53"/>
      <c r="C15" s="53"/>
      <c r="D15" s="53"/>
      <c r="E15" s="53"/>
      <c r="F15" s="55">
        <v>2626462.91</v>
      </c>
    </row>
    <row r="16" spans="1:6" ht="12.75">
      <c r="A16" s="53" t="s">
        <v>130</v>
      </c>
      <c r="B16" s="53"/>
      <c r="C16" s="53"/>
      <c r="D16" s="53"/>
      <c r="E16" s="53"/>
      <c r="F16" s="57">
        <v>85133.68</v>
      </c>
    </row>
    <row r="17" spans="1:6" ht="12.75">
      <c r="A17" s="53" t="s">
        <v>131</v>
      </c>
      <c r="B17" s="53"/>
      <c r="C17" s="53"/>
      <c r="D17" s="53"/>
      <c r="E17" s="53"/>
      <c r="F17" s="55">
        <v>4347762.02</v>
      </c>
    </row>
    <row r="18" spans="1:6" ht="12.75">
      <c r="A18" s="53" t="s">
        <v>132</v>
      </c>
      <c r="B18" s="53"/>
      <c r="C18" s="53"/>
      <c r="D18" s="53"/>
      <c r="E18" s="53"/>
      <c r="F18" s="55">
        <v>0</v>
      </c>
    </row>
    <row r="19" spans="1:6" ht="12.75">
      <c r="A19" s="53" t="s">
        <v>133</v>
      </c>
      <c r="B19" s="53"/>
      <c r="C19" s="53"/>
      <c r="D19" s="53"/>
      <c r="E19" s="53"/>
      <c r="F19" s="55">
        <v>0</v>
      </c>
    </row>
    <row r="20" spans="1:6" ht="12.75">
      <c r="A20" s="53" t="s">
        <v>134</v>
      </c>
      <c r="B20" s="53"/>
      <c r="C20" s="53"/>
      <c r="D20" s="53"/>
      <c r="E20" s="53"/>
      <c r="F20" s="57">
        <f>F21+F23</f>
        <v>7399390.09</v>
      </c>
    </row>
    <row r="21" spans="1:6" ht="12.75">
      <c r="A21" s="53" t="s">
        <v>135</v>
      </c>
      <c r="B21" s="53"/>
      <c r="C21" s="53"/>
      <c r="D21" s="53"/>
      <c r="E21" s="53"/>
      <c r="F21" s="57">
        <v>5053164.78</v>
      </c>
    </row>
    <row r="22" spans="1:6" ht="12.75">
      <c r="A22" s="53" t="s">
        <v>136</v>
      </c>
      <c r="B22" s="53"/>
      <c r="C22" s="53"/>
      <c r="D22" s="53"/>
      <c r="E22" s="53"/>
      <c r="F22" s="57">
        <v>0</v>
      </c>
    </row>
    <row r="23" spans="1:6" ht="12.75">
      <c r="A23" s="53" t="s">
        <v>137</v>
      </c>
      <c r="B23" s="53"/>
      <c r="C23" s="53"/>
      <c r="D23" s="53"/>
      <c r="E23" s="53"/>
      <c r="F23" s="57">
        <v>2346225.31</v>
      </c>
    </row>
    <row r="24" spans="1:6" ht="12.75">
      <c r="A24" s="53" t="s">
        <v>138</v>
      </c>
      <c r="B24" s="53"/>
      <c r="C24" s="53"/>
      <c r="D24" s="53"/>
      <c r="E24" s="53"/>
      <c r="F24" s="57">
        <v>0</v>
      </c>
    </row>
    <row r="25" spans="1:6" ht="12.75">
      <c r="A25" s="53" t="s">
        <v>139</v>
      </c>
      <c r="B25" s="53"/>
      <c r="C25" s="53"/>
      <c r="D25" s="53"/>
      <c r="E25" s="53"/>
      <c r="F25" s="55">
        <v>0</v>
      </c>
    </row>
    <row r="26" spans="1:6" ht="12.75">
      <c r="A26" s="52" t="s">
        <v>140</v>
      </c>
      <c r="B26" s="53"/>
      <c r="C26" s="53"/>
      <c r="D26" s="53"/>
      <c r="E26" s="53"/>
      <c r="F26" s="58">
        <f>F33</f>
        <v>162802.72</v>
      </c>
    </row>
    <row r="27" spans="1:6" ht="12.75">
      <c r="A27" s="53" t="s">
        <v>141</v>
      </c>
      <c r="B27" s="53"/>
      <c r="C27" s="53"/>
      <c r="D27" s="53"/>
      <c r="E27" s="53"/>
      <c r="F27" s="55"/>
    </row>
    <row r="28" spans="1:6" ht="12.75">
      <c r="A28" s="53" t="s">
        <v>142</v>
      </c>
      <c r="B28" s="53"/>
      <c r="C28" s="53"/>
      <c r="D28" s="53"/>
      <c r="E28" s="53"/>
      <c r="F28" s="55"/>
    </row>
    <row r="29" spans="1:6" ht="12.75">
      <c r="A29" s="53" t="s">
        <v>143</v>
      </c>
      <c r="B29" s="53"/>
      <c r="C29" s="53"/>
      <c r="D29" s="53"/>
      <c r="E29" s="53"/>
      <c r="F29" s="55"/>
    </row>
    <row r="30" spans="1:6" ht="12.75">
      <c r="A30" s="53" t="s">
        <v>144</v>
      </c>
      <c r="B30" s="53"/>
      <c r="C30" s="53"/>
      <c r="D30" s="53"/>
      <c r="E30" s="53"/>
      <c r="F30" s="55"/>
    </row>
    <row r="31" spans="1:6" ht="12.75">
      <c r="A31" s="53" t="s">
        <v>145</v>
      </c>
      <c r="B31" s="53"/>
      <c r="C31" s="53"/>
      <c r="D31" s="53"/>
      <c r="E31" s="53"/>
      <c r="F31" s="55"/>
    </row>
    <row r="32" spans="1:6" ht="12.75">
      <c r="A32" s="53" t="s">
        <v>146</v>
      </c>
      <c r="B32" s="53"/>
      <c r="C32" s="53"/>
      <c r="D32" s="53"/>
      <c r="E32" s="53"/>
      <c r="F32" s="55"/>
    </row>
    <row r="33" spans="1:6" ht="12.75">
      <c r="A33" s="53" t="s">
        <v>147</v>
      </c>
      <c r="B33" s="53"/>
      <c r="C33" s="53"/>
      <c r="D33" s="53"/>
      <c r="E33" s="53"/>
      <c r="F33" s="55">
        <f>F34+F35+F36+F37+F38</f>
        <v>162802.72</v>
      </c>
    </row>
    <row r="34" spans="1:6" ht="12.75">
      <c r="A34" s="53" t="s">
        <v>148</v>
      </c>
      <c r="B34" s="53"/>
      <c r="C34" s="53"/>
      <c r="D34" s="53"/>
      <c r="E34" s="53"/>
      <c r="F34" s="55">
        <v>155366.84</v>
      </c>
    </row>
    <row r="35" spans="1:6" ht="12.75">
      <c r="A35" s="53" t="s">
        <v>149</v>
      </c>
      <c r="B35" s="53"/>
      <c r="C35" s="53"/>
      <c r="D35" s="53"/>
      <c r="E35" s="53"/>
      <c r="F35" s="55">
        <v>5131.95</v>
      </c>
    </row>
    <row r="36" spans="1:6" ht="12.75">
      <c r="A36" s="53" t="s">
        <v>150</v>
      </c>
      <c r="B36" s="53"/>
      <c r="C36" s="53"/>
      <c r="D36" s="53"/>
      <c r="E36" s="53"/>
      <c r="F36" s="55"/>
    </row>
    <row r="37" spans="1:6" ht="12.75">
      <c r="A37" s="53" t="s">
        <v>151</v>
      </c>
      <c r="B37" s="53"/>
      <c r="C37" s="53"/>
      <c r="D37" s="53"/>
      <c r="E37" s="53"/>
      <c r="F37" s="55">
        <v>1842.36</v>
      </c>
    </row>
    <row r="38" spans="1:6" ht="12.75">
      <c r="A38" s="53" t="s">
        <v>152</v>
      </c>
      <c r="B38" s="53"/>
      <c r="C38" s="53"/>
      <c r="D38" s="53"/>
      <c r="E38" s="53"/>
      <c r="F38" s="55">
        <v>461.57</v>
      </c>
    </row>
    <row r="39" spans="1:6" ht="12.75">
      <c r="A39" s="53" t="s">
        <v>153</v>
      </c>
      <c r="B39" s="53"/>
      <c r="C39" s="53"/>
      <c r="D39" s="53"/>
      <c r="E39" s="53"/>
      <c r="F39" s="59"/>
    </row>
    <row r="40" spans="1:6" ht="12.75">
      <c r="A40" s="53" t="s">
        <v>154</v>
      </c>
      <c r="B40" s="53"/>
      <c r="C40" s="53"/>
      <c r="D40" s="53"/>
      <c r="E40" s="53"/>
      <c r="F40" s="60"/>
    </row>
    <row r="41" spans="1:6" ht="12.75">
      <c r="A41" s="53" t="s">
        <v>155</v>
      </c>
      <c r="B41" s="53"/>
      <c r="C41" s="53"/>
      <c r="D41" s="53"/>
      <c r="E41" s="53"/>
      <c r="F41" s="60"/>
    </row>
    <row r="42" spans="1:6" ht="12.75">
      <c r="A42" s="53" t="s">
        <v>156</v>
      </c>
      <c r="B42" s="53"/>
      <c r="C42" s="53"/>
      <c r="D42" s="53"/>
      <c r="E42" s="53"/>
      <c r="F42" s="59"/>
    </row>
    <row r="43" spans="1:6" ht="12.75">
      <c r="A43" s="53" t="s">
        <v>157</v>
      </c>
      <c r="B43" s="53"/>
      <c r="C43" s="53"/>
      <c r="D43" s="53"/>
      <c r="E43" s="53"/>
      <c r="F43" s="55"/>
    </row>
    <row r="44" spans="1:6" ht="12.75">
      <c r="A44" s="53" t="s">
        <v>158</v>
      </c>
      <c r="B44" s="53"/>
      <c r="C44" s="53"/>
      <c r="D44" s="53"/>
      <c r="E44" s="53"/>
      <c r="F44" s="55"/>
    </row>
    <row r="45" spans="1:6" ht="12.75">
      <c r="A45" s="53" t="s">
        <v>159</v>
      </c>
      <c r="B45" s="53"/>
      <c r="C45" s="53"/>
      <c r="D45" s="53"/>
      <c r="E45" s="53"/>
      <c r="F45" s="55"/>
    </row>
    <row r="46" spans="1:6" ht="12.75">
      <c r="A46" s="52" t="s">
        <v>160</v>
      </c>
      <c r="B46" s="53"/>
      <c r="C46" s="53"/>
      <c r="D46" s="53"/>
      <c r="E46" s="53"/>
      <c r="F46" s="54">
        <f>F47+F48</f>
        <v>44190.66</v>
      </c>
    </row>
    <row r="47" spans="1:6" ht="12.75">
      <c r="A47" s="61" t="s">
        <v>918</v>
      </c>
      <c r="B47" s="61"/>
      <c r="C47" s="61"/>
      <c r="D47" s="61"/>
      <c r="E47" s="61"/>
      <c r="F47" s="54">
        <v>0</v>
      </c>
    </row>
    <row r="48" spans="1:6" ht="12.75">
      <c r="A48" s="61" t="s">
        <v>919</v>
      </c>
      <c r="B48" s="61"/>
      <c r="C48" s="61"/>
      <c r="D48" s="61"/>
      <c r="E48" s="61"/>
      <c r="F48" s="62">
        <v>44190.66</v>
      </c>
    </row>
    <row r="49" spans="1:6" ht="12.75">
      <c r="A49" s="52" t="s">
        <v>920</v>
      </c>
      <c r="B49" s="53"/>
      <c r="C49" s="53"/>
      <c r="D49" s="53"/>
      <c r="E49" s="53"/>
      <c r="F49" s="54">
        <f>F5+F26+F46</f>
        <v>34610290.64999999</v>
      </c>
    </row>
    <row r="50" spans="1:6" ht="12.75">
      <c r="A50" s="52"/>
      <c r="B50" s="53"/>
      <c r="C50" s="53"/>
      <c r="D50" s="53"/>
      <c r="E50" s="53"/>
      <c r="F50" s="63"/>
    </row>
    <row r="51" spans="1:6" ht="12.75">
      <c r="A51" s="53"/>
      <c r="B51" s="53"/>
      <c r="C51" s="53"/>
      <c r="D51" s="53"/>
      <c r="E51" s="53"/>
      <c r="F51" s="64"/>
    </row>
    <row r="52" spans="1:6" ht="12.75">
      <c r="A52" s="52" t="s">
        <v>1626</v>
      </c>
      <c r="B52" s="53"/>
      <c r="C52" s="53"/>
      <c r="D52" s="53"/>
      <c r="E52" s="53" t="s">
        <v>921</v>
      </c>
      <c r="F52" s="51" t="s">
        <v>118</v>
      </c>
    </row>
    <row r="53" spans="1:6" ht="12.75">
      <c r="A53" s="52"/>
      <c r="B53" s="53"/>
      <c r="C53" s="53"/>
      <c r="D53" s="53"/>
      <c r="E53" s="53"/>
      <c r="F53" s="64"/>
    </row>
    <row r="54" spans="1:6" ht="12.75">
      <c r="A54" s="52" t="s">
        <v>922</v>
      </c>
      <c r="B54" s="53"/>
      <c r="C54" s="53"/>
      <c r="D54" s="53"/>
      <c r="E54" s="53"/>
      <c r="F54" s="54">
        <f>F55+F57+F65+F68</f>
        <v>22776872.709999997</v>
      </c>
    </row>
    <row r="55" spans="1:6" ht="12.75">
      <c r="A55" s="53" t="s">
        <v>923</v>
      </c>
      <c r="B55" s="53"/>
      <c r="C55" s="53"/>
      <c r="D55" s="53"/>
      <c r="E55" s="53"/>
      <c r="F55" s="55">
        <v>10004000</v>
      </c>
    </row>
    <row r="56" spans="1:6" ht="12.75">
      <c r="A56" s="53" t="s">
        <v>924</v>
      </c>
      <c r="B56" s="53"/>
      <c r="C56" s="53"/>
      <c r="D56" s="53"/>
      <c r="E56" s="53"/>
      <c r="F56" s="59">
        <v>0</v>
      </c>
    </row>
    <row r="57" spans="1:6" ht="12.75">
      <c r="A57" s="53" t="s">
        <v>925</v>
      </c>
      <c r="B57" s="53"/>
      <c r="C57" s="53"/>
      <c r="D57" s="53"/>
      <c r="E57" s="53"/>
      <c r="F57" s="55">
        <f>F58+F59+F60+F61</f>
        <v>14084720.94</v>
      </c>
    </row>
    <row r="58" spans="1:6" ht="12.75">
      <c r="A58" s="53" t="s">
        <v>926</v>
      </c>
      <c r="B58" s="53"/>
      <c r="C58" s="53"/>
      <c r="D58" s="53"/>
      <c r="E58" s="53"/>
      <c r="F58" s="55">
        <v>0</v>
      </c>
    </row>
    <row r="59" spans="1:6" ht="12.75">
      <c r="A59" s="53" t="s">
        <v>927</v>
      </c>
      <c r="B59" s="53"/>
      <c r="C59" s="53"/>
      <c r="D59" s="53"/>
      <c r="E59" s="53"/>
      <c r="F59" s="55">
        <v>0</v>
      </c>
    </row>
    <row r="60" spans="1:6" ht="12.75">
      <c r="A60" s="53" t="s">
        <v>928</v>
      </c>
      <c r="B60" s="53"/>
      <c r="C60" s="53"/>
      <c r="D60" s="53"/>
      <c r="E60" s="53"/>
      <c r="F60" s="55">
        <v>0</v>
      </c>
    </row>
    <row r="61" spans="1:6" ht="12.75">
      <c r="A61" s="53" t="s">
        <v>929</v>
      </c>
      <c r="B61" s="53"/>
      <c r="C61" s="53"/>
      <c r="D61" s="53"/>
      <c r="E61" s="53"/>
      <c r="F61" s="55">
        <v>14084720.94</v>
      </c>
    </row>
    <row r="62" spans="1:6" ht="12.75">
      <c r="A62" s="53" t="s">
        <v>930</v>
      </c>
      <c r="B62" s="53"/>
      <c r="C62" s="53"/>
      <c r="D62" s="53"/>
      <c r="E62" s="53"/>
      <c r="F62" s="55">
        <v>0</v>
      </c>
    </row>
    <row r="63" spans="1:6" ht="12.75">
      <c r="A63" s="53" t="s">
        <v>931</v>
      </c>
      <c r="B63" s="53"/>
      <c r="C63" s="53"/>
      <c r="D63" s="53"/>
      <c r="E63" s="53"/>
      <c r="F63" s="59">
        <v>0</v>
      </c>
    </row>
    <row r="64" spans="1:6" ht="12.75">
      <c r="A64" s="53" t="s">
        <v>932</v>
      </c>
      <c r="B64" s="53"/>
      <c r="C64" s="53"/>
      <c r="D64" s="53"/>
      <c r="E64" s="53"/>
      <c r="F64" s="59">
        <v>0</v>
      </c>
    </row>
    <row r="65" spans="1:6" ht="12.75">
      <c r="A65" s="53" t="s">
        <v>933</v>
      </c>
      <c r="B65" s="53"/>
      <c r="C65" s="53"/>
      <c r="D65" s="53"/>
      <c r="E65" s="53"/>
      <c r="F65" s="55">
        <v>-1969789.82</v>
      </c>
    </row>
    <row r="66" spans="1:6" ht="12.75">
      <c r="A66" s="53" t="s">
        <v>934</v>
      </c>
      <c r="B66" s="53"/>
      <c r="C66" s="53"/>
      <c r="D66" s="53"/>
      <c r="E66" s="53"/>
      <c r="F66" s="55">
        <v>0</v>
      </c>
    </row>
    <row r="67" spans="1:6" ht="12.75">
      <c r="A67" s="53" t="s">
        <v>935</v>
      </c>
      <c r="B67" s="53"/>
      <c r="C67" s="53"/>
      <c r="D67" s="53"/>
      <c r="E67" s="53"/>
      <c r="F67" s="55">
        <v>-1969789.82</v>
      </c>
    </row>
    <row r="68" spans="1:6" ht="12.75">
      <c r="A68" s="53" t="s">
        <v>936</v>
      </c>
      <c r="B68" s="53"/>
      <c r="C68" s="53"/>
      <c r="D68" s="53"/>
      <c r="E68" s="53"/>
      <c r="F68" s="55">
        <f>F69+F70</f>
        <v>657941.59</v>
      </c>
    </row>
    <row r="69" spans="1:6" ht="12.75">
      <c r="A69" s="53" t="s">
        <v>937</v>
      </c>
      <c r="B69" s="53"/>
      <c r="C69" s="53"/>
      <c r="D69" s="53"/>
      <c r="E69" s="53"/>
      <c r="F69" s="65">
        <v>657941.59</v>
      </c>
    </row>
    <row r="70" spans="1:6" ht="12.75">
      <c r="A70" s="53" t="s">
        <v>938</v>
      </c>
      <c r="B70" s="53"/>
      <c r="C70" s="53"/>
      <c r="D70" s="53"/>
      <c r="E70" s="53"/>
      <c r="F70" s="58"/>
    </row>
    <row r="71" spans="1:6" ht="12.75">
      <c r="A71" s="53" t="s">
        <v>939</v>
      </c>
      <c r="B71" s="53"/>
      <c r="C71" s="53"/>
      <c r="D71" s="53"/>
      <c r="E71" s="53"/>
      <c r="F71" s="55"/>
    </row>
    <row r="72" spans="1:6" ht="12.75">
      <c r="A72" s="52" t="s">
        <v>940</v>
      </c>
      <c r="B72" s="53"/>
      <c r="C72" s="53"/>
      <c r="D72" s="53"/>
      <c r="E72" s="53"/>
      <c r="F72" s="66"/>
    </row>
    <row r="73" spans="1:6" ht="12.75">
      <c r="A73" s="61" t="s">
        <v>941</v>
      </c>
      <c r="B73" s="61"/>
      <c r="C73" s="61"/>
      <c r="D73" s="61"/>
      <c r="E73" s="61"/>
      <c r="F73" s="54"/>
    </row>
    <row r="74" spans="1:6" ht="12.75">
      <c r="A74" s="61" t="s">
        <v>942</v>
      </c>
      <c r="B74" s="61"/>
      <c r="C74" s="61"/>
      <c r="D74" s="61"/>
      <c r="E74" s="61"/>
      <c r="F74" s="62"/>
    </row>
    <row r="75" spans="1:6" ht="12.75">
      <c r="A75" s="52" t="s">
        <v>943</v>
      </c>
      <c r="B75" s="53"/>
      <c r="C75" s="53"/>
      <c r="D75" s="53"/>
      <c r="E75" s="53"/>
      <c r="F75" s="54">
        <f>F76+F77+F78</f>
        <v>5029</v>
      </c>
    </row>
    <row r="76" spans="1:6" ht="12.75">
      <c r="A76" s="61" t="s">
        <v>944</v>
      </c>
      <c r="B76" s="61"/>
      <c r="C76" s="61"/>
      <c r="D76" s="61"/>
      <c r="E76" s="61"/>
      <c r="F76" s="62">
        <v>0</v>
      </c>
    </row>
    <row r="77" spans="1:6" ht="12.75">
      <c r="A77" s="61" t="s">
        <v>945</v>
      </c>
      <c r="B77" s="61"/>
      <c r="C77" s="61"/>
      <c r="D77" s="61"/>
      <c r="E77" s="61"/>
      <c r="F77" s="62">
        <v>0</v>
      </c>
    </row>
    <row r="78" spans="1:6" ht="12.75">
      <c r="A78" s="61" t="s">
        <v>946</v>
      </c>
      <c r="B78" s="61"/>
      <c r="C78" s="61"/>
      <c r="D78" s="61"/>
      <c r="E78" s="61"/>
      <c r="F78" s="62">
        <v>5029</v>
      </c>
    </row>
    <row r="79" spans="1:6" ht="12.75">
      <c r="A79" s="52" t="s">
        <v>947</v>
      </c>
      <c r="B79" s="52"/>
      <c r="C79" s="52"/>
      <c r="D79" s="52"/>
      <c r="E79" s="52"/>
      <c r="F79" s="54">
        <f>F80</f>
        <v>11827664.37</v>
      </c>
    </row>
    <row r="80" spans="1:6" ht="12.75">
      <c r="A80" s="61" t="s">
        <v>948</v>
      </c>
      <c r="B80" s="53"/>
      <c r="C80" s="53"/>
      <c r="D80" s="53"/>
      <c r="E80" s="53"/>
      <c r="F80" s="55">
        <f>F81+F82+F83+F84+F85+F86+F87+F88+F89+F90</f>
        <v>11827664.37</v>
      </c>
    </row>
    <row r="81" spans="1:6" ht="12.75">
      <c r="A81" s="53" t="s">
        <v>949</v>
      </c>
      <c r="B81" s="53"/>
      <c r="C81" s="53"/>
      <c r="D81" s="53"/>
      <c r="E81" s="53"/>
      <c r="F81" s="59">
        <v>0</v>
      </c>
    </row>
    <row r="82" spans="1:6" ht="12.75">
      <c r="A82" s="53" t="s">
        <v>950</v>
      </c>
      <c r="B82" s="53"/>
      <c r="C82" s="53"/>
      <c r="D82" s="53"/>
      <c r="E82" s="53"/>
      <c r="F82" s="55">
        <v>11294764.54</v>
      </c>
    </row>
    <row r="83" spans="1:6" ht="12.75">
      <c r="A83" s="53" t="s">
        <v>951</v>
      </c>
      <c r="B83" s="53"/>
      <c r="C83" s="53"/>
      <c r="D83" s="53"/>
      <c r="E83" s="53"/>
      <c r="F83" s="59"/>
    </row>
    <row r="84" spans="1:6" ht="12.75">
      <c r="A84" s="53" t="s">
        <v>952</v>
      </c>
      <c r="B84" s="53"/>
      <c r="C84" s="53"/>
      <c r="D84" s="53"/>
      <c r="E84" s="53"/>
      <c r="F84" s="55">
        <v>219117.67</v>
      </c>
    </row>
    <row r="85" spans="1:6" ht="12.75">
      <c r="A85" s="53" t="s">
        <v>953</v>
      </c>
      <c r="B85" s="53"/>
      <c r="C85" s="53"/>
      <c r="D85" s="53"/>
      <c r="E85" s="53"/>
      <c r="F85" s="59"/>
    </row>
    <row r="86" spans="1:6" ht="12.75">
      <c r="A86" s="53" t="s">
        <v>954</v>
      </c>
      <c r="B86" s="53"/>
      <c r="C86" s="53"/>
      <c r="D86" s="53"/>
      <c r="E86" s="53"/>
      <c r="F86" s="55">
        <v>294779</v>
      </c>
    </row>
    <row r="87" spans="1:6" ht="12.75">
      <c r="A87" s="53" t="s">
        <v>955</v>
      </c>
      <c r="B87" s="53"/>
      <c r="C87" s="53"/>
      <c r="D87" s="53"/>
      <c r="E87" s="53"/>
      <c r="F87" s="57">
        <v>13440.71</v>
      </c>
    </row>
    <row r="88" spans="1:6" ht="12.75">
      <c r="A88" s="53" t="s">
        <v>956</v>
      </c>
      <c r="B88" s="53"/>
      <c r="C88" s="53"/>
      <c r="D88" s="53"/>
      <c r="E88" s="53"/>
      <c r="F88" s="57">
        <v>0</v>
      </c>
    </row>
    <row r="89" spans="1:6" ht="12.75">
      <c r="A89" s="53" t="s">
        <v>957</v>
      </c>
      <c r="B89" s="53"/>
      <c r="C89" s="53"/>
      <c r="D89" s="53"/>
      <c r="E89" s="53"/>
      <c r="F89" s="55">
        <v>5562.45</v>
      </c>
    </row>
    <row r="90" spans="1:6" ht="12.75">
      <c r="A90" s="53" t="s">
        <v>958</v>
      </c>
      <c r="B90" s="53"/>
      <c r="C90" s="53"/>
      <c r="D90" s="53"/>
      <c r="E90" s="53"/>
      <c r="F90" s="59">
        <v>0</v>
      </c>
    </row>
    <row r="91" spans="1:6" ht="12.75">
      <c r="A91" s="52" t="s">
        <v>959</v>
      </c>
      <c r="B91" s="53"/>
      <c r="C91" s="53"/>
      <c r="D91" s="53"/>
      <c r="E91" s="53"/>
      <c r="F91" s="54">
        <f>F92+F93</f>
        <v>724.57</v>
      </c>
    </row>
    <row r="92" spans="1:6" ht="12.75">
      <c r="A92" s="61" t="s">
        <v>960</v>
      </c>
      <c r="B92" s="61"/>
      <c r="C92" s="61"/>
      <c r="D92" s="61"/>
      <c r="E92" s="61"/>
      <c r="F92" s="62">
        <v>0</v>
      </c>
    </row>
    <row r="93" spans="1:6" ht="12.75">
      <c r="A93" s="61" t="s">
        <v>961</v>
      </c>
      <c r="B93" s="61"/>
      <c r="C93" s="61"/>
      <c r="D93" s="61"/>
      <c r="E93" s="61"/>
      <c r="F93" s="62">
        <v>724.57</v>
      </c>
    </row>
    <row r="94" spans="1:6" ht="12.75">
      <c r="A94" s="52" t="s">
        <v>962</v>
      </c>
      <c r="B94" s="53"/>
      <c r="C94" s="53"/>
      <c r="D94" s="53"/>
      <c r="E94" s="53"/>
      <c r="F94" s="54">
        <f>F54+F75+F79+F91</f>
        <v>34610290.65</v>
      </c>
    </row>
    <row r="98" ht="12.75">
      <c r="D98" t="s">
        <v>964</v>
      </c>
    </row>
    <row r="99" ht="12.75">
      <c r="D99" t="s">
        <v>965</v>
      </c>
    </row>
    <row r="102" ht="12.75">
      <c r="F102" s="27" t="s">
        <v>118</v>
      </c>
    </row>
    <row r="103" spans="1:6" ht="12.75">
      <c r="A103" s="51" t="s">
        <v>966</v>
      </c>
      <c r="B103" s="51"/>
      <c r="C103" s="51"/>
      <c r="D103" s="51"/>
      <c r="F103" s="54">
        <f>F104+F105+F106+F107</f>
        <v>18111784.08</v>
      </c>
    </row>
    <row r="104" spans="1:6" ht="12.75">
      <c r="A104" t="s">
        <v>967</v>
      </c>
      <c r="F104" s="55">
        <v>18111784.08</v>
      </c>
    </row>
    <row r="105" spans="1:6" ht="12.75">
      <c r="A105" t="s">
        <v>968</v>
      </c>
      <c r="F105" s="59">
        <v>0</v>
      </c>
    </row>
    <row r="106" spans="1:6" ht="12.75">
      <c r="A106" t="s">
        <v>969</v>
      </c>
      <c r="F106" s="59">
        <v>0</v>
      </c>
    </row>
    <row r="107" spans="1:6" ht="12.75">
      <c r="A107" t="s">
        <v>970</v>
      </c>
      <c r="F107" s="59">
        <v>0</v>
      </c>
    </row>
    <row r="108" spans="1:6" ht="12.75">
      <c r="A108" t="s">
        <v>971</v>
      </c>
      <c r="F108" s="58">
        <f>F109+F110+F111+F112+F113+F114+F115+F116</f>
        <v>16033234.589999998</v>
      </c>
    </row>
    <row r="109" spans="1:6" ht="12.75">
      <c r="A109" t="s">
        <v>972</v>
      </c>
      <c r="F109" s="55">
        <v>0</v>
      </c>
    </row>
    <row r="110" spans="1:6" ht="12.75">
      <c r="A110" t="s">
        <v>973</v>
      </c>
      <c r="F110" s="55">
        <v>120004.44</v>
      </c>
    </row>
    <row r="111" spans="1:6" ht="12.75">
      <c r="A111" t="s">
        <v>974</v>
      </c>
      <c r="D111" t="s">
        <v>921</v>
      </c>
      <c r="F111" s="55">
        <v>12153815.9</v>
      </c>
    </row>
    <row r="112" spans="1:6" ht="12.75">
      <c r="A112" t="s">
        <v>975</v>
      </c>
      <c r="F112" s="55">
        <v>30357.51</v>
      </c>
    </row>
    <row r="113" spans="1:6" ht="12.75">
      <c r="A113" t="s">
        <v>976</v>
      </c>
      <c r="F113" s="55">
        <v>538015.7</v>
      </c>
    </row>
    <row r="114" spans="1:6" ht="12.75">
      <c r="A114" t="s">
        <v>977</v>
      </c>
      <c r="F114" s="55">
        <v>78402.01</v>
      </c>
    </row>
    <row r="115" spans="1:6" ht="12.75">
      <c r="A115" t="s">
        <v>978</v>
      </c>
      <c r="F115" s="55">
        <v>3063881.74</v>
      </c>
    </row>
    <row r="116" spans="1:6" ht="12.75">
      <c r="A116" t="s">
        <v>979</v>
      </c>
      <c r="F116" s="55">
        <v>48757.29</v>
      </c>
    </row>
    <row r="117" spans="1:6" ht="12.75">
      <c r="A117" t="s">
        <v>980</v>
      </c>
      <c r="F117" s="58">
        <f>F103-F108</f>
        <v>2078549.4900000002</v>
      </c>
    </row>
    <row r="118" spans="1:6" ht="12.75">
      <c r="A118" t="s">
        <v>981</v>
      </c>
      <c r="F118" s="58">
        <f>F119+F120+F121</f>
        <v>55755.15</v>
      </c>
    </row>
    <row r="119" spans="1:6" ht="12.75">
      <c r="A119" t="s">
        <v>982</v>
      </c>
      <c r="F119" s="59">
        <v>22680</v>
      </c>
    </row>
    <row r="120" spans="1:6" ht="12.75">
      <c r="A120" t="s">
        <v>983</v>
      </c>
      <c r="F120" s="59">
        <v>0</v>
      </c>
    </row>
    <row r="121" spans="1:6" ht="12.75">
      <c r="A121" t="s">
        <v>984</v>
      </c>
      <c r="F121" s="55">
        <v>33075.15</v>
      </c>
    </row>
    <row r="122" spans="1:6" ht="12.75">
      <c r="A122" t="s">
        <v>985</v>
      </c>
      <c r="F122" s="58">
        <f>F123+F124</f>
        <v>205280.74</v>
      </c>
    </row>
    <row r="123" spans="1:6" ht="12.75">
      <c r="A123" t="s">
        <v>986</v>
      </c>
      <c r="F123" s="59">
        <v>52987.41</v>
      </c>
    </row>
    <row r="124" spans="1:6" ht="12.75">
      <c r="A124" t="s">
        <v>987</v>
      </c>
      <c r="F124" s="55">
        <v>152293.33</v>
      </c>
    </row>
    <row r="125" spans="1:6" ht="12.75">
      <c r="A125" t="s">
        <v>988</v>
      </c>
      <c r="F125" s="58">
        <f>F117+F118-F122</f>
        <v>1929023.9000000001</v>
      </c>
    </row>
    <row r="126" spans="1:6" ht="12.75">
      <c r="A126" t="s">
        <v>989</v>
      </c>
      <c r="F126" s="58">
        <f>F127+F128+F129</f>
        <v>5314.97</v>
      </c>
    </row>
    <row r="127" spans="1:6" ht="12.75">
      <c r="A127" t="s">
        <v>990</v>
      </c>
      <c r="F127" s="60">
        <v>0</v>
      </c>
    </row>
    <row r="128" spans="1:6" ht="12.75">
      <c r="A128" t="s">
        <v>991</v>
      </c>
      <c r="F128" s="55">
        <v>5314.97</v>
      </c>
    </row>
    <row r="129" spans="1:6" ht="12.75">
      <c r="A129" t="s">
        <v>992</v>
      </c>
      <c r="F129" s="55">
        <v>0</v>
      </c>
    </row>
    <row r="130" spans="1:6" ht="12.75">
      <c r="A130" t="s">
        <v>993</v>
      </c>
      <c r="F130" s="58">
        <f>F131+F132+F133</f>
        <v>926683.28</v>
      </c>
    </row>
    <row r="131" spans="1:6" ht="12.75">
      <c r="A131" t="s">
        <v>994</v>
      </c>
      <c r="F131" s="59">
        <v>0</v>
      </c>
    </row>
    <row r="132" spans="1:6" ht="12.75">
      <c r="A132" t="s">
        <v>995</v>
      </c>
      <c r="F132" s="57">
        <v>926676.42</v>
      </c>
    </row>
    <row r="133" spans="1:6" ht="12.75">
      <c r="A133" t="s">
        <v>996</v>
      </c>
      <c r="F133" s="55">
        <v>6.86</v>
      </c>
    </row>
    <row r="134" spans="1:6" ht="12.75">
      <c r="A134" t="s">
        <v>997</v>
      </c>
      <c r="F134" s="58">
        <f>F125+F126-F130</f>
        <v>1007655.5900000001</v>
      </c>
    </row>
    <row r="135" spans="1:6" ht="12.75">
      <c r="A135" t="s">
        <v>998</v>
      </c>
      <c r="F135" s="58">
        <v>0</v>
      </c>
    </row>
    <row r="136" spans="1:6" ht="12.75">
      <c r="A136" t="s">
        <v>999</v>
      </c>
      <c r="F136" s="58">
        <v>0</v>
      </c>
    </row>
    <row r="137" spans="1:6" ht="12.75">
      <c r="A137" t="s">
        <v>1000</v>
      </c>
      <c r="F137" s="58">
        <f>F134</f>
        <v>1007655.5900000001</v>
      </c>
    </row>
    <row r="138" spans="1:6" ht="12.75">
      <c r="A138" t="s">
        <v>1001</v>
      </c>
      <c r="F138" s="68">
        <f>F139+F140</f>
        <v>349714</v>
      </c>
    </row>
    <row r="139" spans="1:6" ht="12.75">
      <c r="A139" t="s">
        <v>1002</v>
      </c>
      <c r="F139" s="59">
        <v>349714</v>
      </c>
    </row>
    <row r="140" spans="1:6" ht="12.75">
      <c r="A140" t="s">
        <v>1003</v>
      </c>
      <c r="F140" s="59">
        <v>0</v>
      </c>
    </row>
    <row r="141" spans="1:6" ht="12.75">
      <c r="A141" t="s">
        <v>1004</v>
      </c>
      <c r="F141" s="58">
        <f>F137-F138</f>
        <v>657941.5900000001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91"/>
  <sheetViews>
    <sheetView workbookViewId="0" topLeftCell="B1">
      <selection activeCell="C2" sqref="C2"/>
    </sheetView>
  </sheetViews>
  <sheetFormatPr defaultColWidth="9.140625" defaultRowHeight="12.75"/>
  <cols>
    <col min="1" max="1" width="2.8515625" style="0" customWidth="1"/>
    <col min="2" max="2" width="39.00390625" style="0" customWidth="1"/>
    <col min="3" max="3" width="15.140625" style="0" customWidth="1"/>
    <col min="4" max="4" width="2.8515625" style="0" customWidth="1"/>
    <col min="5" max="5" width="39.421875" style="0" customWidth="1"/>
    <col min="6" max="6" width="16.8515625" style="0" customWidth="1"/>
    <col min="7" max="7" width="18.7109375" style="0" customWidth="1"/>
    <col min="8" max="8" width="18.140625" style="0" customWidth="1"/>
  </cols>
  <sheetData>
    <row r="1" spans="2:6" ht="15.75">
      <c r="B1" s="130" t="s">
        <v>1187</v>
      </c>
      <c r="C1" s="130" t="s">
        <v>1188</v>
      </c>
      <c r="E1" s="130" t="str">
        <f>B1</f>
        <v>PKB  "Ochrona"  S.A.</v>
      </c>
      <c r="F1" s="130"/>
    </row>
    <row r="2" ht="12.75">
      <c r="C2" s="28" t="s">
        <v>505</v>
      </c>
    </row>
    <row r="3" spans="1:7" ht="17.25" customHeight="1">
      <c r="A3" s="131" t="s">
        <v>1189</v>
      </c>
      <c r="B3" s="132" t="s">
        <v>1578</v>
      </c>
      <c r="C3" s="132" t="s">
        <v>1190</v>
      </c>
      <c r="D3" s="133" t="s">
        <v>1189</v>
      </c>
      <c r="E3" s="132" t="s">
        <v>1626</v>
      </c>
      <c r="F3" s="132" t="str">
        <f>C3</f>
        <v>30.06.2001</v>
      </c>
      <c r="G3" s="53"/>
    </row>
    <row r="4" spans="1:7" ht="18" customHeight="1">
      <c r="A4" s="134" t="s">
        <v>389</v>
      </c>
      <c r="B4" s="134" t="s">
        <v>1191</v>
      </c>
      <c r="C4" s="135">
        <f>SUM(C5+C11+C19+C24)</f>
        <v>7715263.770000001</v>
      </c>
      <c r="D4" s="134" t="s">
        <v>389</v>
      </c>
      <c r="E4" s="136" t="s">
        <v>1192</v>
      </c>
      <c r="F4" s="137">
        <f>SUM(F5+F6+F7+F13+F14+F15+F18)</f>
        <v>5570672.75</v>
      </c>
      <c r="G4" s="138"/>
    </row>
    <row r="5" spans="1:7" ht="18" customHeight="1">
      <c r="A5" s="131" t="s">
        <v>1193</v>
      </c>
      <c r="B5" s="134" t="s">
        <v>1194</v>
      </c>
      <c r="C5" s="135">
        <f>SUM(C6:C10)</f>
        <v>1064578.3900000001</v>
      </c>
      <c r="D5" s="131" t="s">
        <v>1193</v>
      </c>
      <c r="E5" s="136" t="s">
        <v>1195</v>
      </c>
      <c r="F5" s="137">
        <v>8300000</v>
      </c>
      <c r="G5" s="138"/>
    </row>
    <row r="6" spans="1:7" ht="12.75" customHeight="1">
      <c r="A6" s="131">
        <v>1</v>
      </c>
      <c r="B6" s="131" t="s">
        <v>1196</v>
      </c>
      <c r="C6" s="135"/>
      <c r="D6" s="131" t="s">
        <v>1197</v>
      </c>
      <c r="E6" s="139" t="s">
        <v>1198</v>
      </c>
      <c r="F6" s="137"/>
      <c r="G6" s="138"/>
    </row>
    <row r="7" spans="1:7" ht="12.75" customHeight="1">
      <c r="A7" s="131">
        <v>2</v>
      </c>
      <c r="B7" s="131" t="s">
        <v>1199</v>
      </c>
      <c r="C7" s="135"/>
      <c r="D7" s="131" t="s">
        <v>1200</v>
      </c>
      <c r="E7" s="139" t="s">
        <v>1201</v>
      </c>
      <c r="F7" s="137">
        <f>SUM(F8:F10)</f>
        <v>1200000</v>
      </c>
      <c r="G7" s="138"/>
    </row>
    <row r="8" spans="1:7" ht="12.75" customHeight="1">
      <c r="A8" s="131">
        <v>3</v>
      </c>
      <c r="B8" s="131" t="s">
        <v>1202</v>
      </c>
      <c r="C8" s="135"/>
      <c r="D8" s="131">
        <v>1</v>
      </c>
      <c r="E8" s="139" t="s">
        <v>1203</v>
      </c>
      <c r="F8" s="137">
        <v>1200000</v>
      </c>
      <c r="G8" s="138"/>
    </row>
    <row r="9" spans="1:7" ht="12.75" customHeight="1">
      <c r="A9" s="131">
        <v>4</v>
      </c>
      <c r="B9" s="131" t="s">
        <v>1204</v>
      </c>
      <c r="C9" s="135">
        <f>1190241.33-125662.94</f>
        <v>1064578.3900000001</v>
      </c>
      <c r="D9" s="131">
        <v>2</v>
      </c>
      <c r="E9" s="139" t="s">
        <v>1205</v>
      </c>
      <c r="F9" s="137"/>
      <c r="G9" s="138"/>
    </row>
    <row r="10" spans="1:7" ht="12.75" customHeight="1">
      <c r="A10" s="131">
        <v>5</v>
      </c>
      <c r="B10" s="131" t="s">
        <v>1206</v>
      </c>
      <c r="C10" s="135"/>
      <c r="D10" s="140">
        <v>3</v>
      </c>
      <c r="E10" s="139" t="s">
        <v>1207</v>
      </c>
      <c r="F10" s="131"/>
      <c r="G10" s="138"/>
    </row>
    <row r="11" spans="1:7" ht="18" customHeight="1">
      <c r="A11" s="131" t="s">
        <v>1197</v>
      </c>
      <c r="B11" s="134" t="s">
        <v>1208</v>
      </c>
      <c r="C11" s="135">
        <f>SUM(C12:C18)</f>
        <v>6650685.380000001</v>
      </c>
      <c r="D11" s="131">
        <v>4</v>
      </c>
      <c r="E11" s="139" t="s">
        <v>1209</v>
      </c>
      <c r="F11" s="131"/>
      <c r="G11" s="138"/>
    </row>
    <row r="12" spans="1:7" ht="12.75" customHeight="1">
      <c r="A12" s="131">
        <v>1</v>
      </c>
      <c r="B12" s="141" t="s">
        <v>1210</v>
      </c>
      <c r="C12" s="135"/>
      <c r="D12" s="131">
        <v>5</v>
      </c>
      <c r="E12" s="139" t="s">
        <v>1211</v>
      </c>
      <c r="F12" s="131"/>
      <c r="G12" s="53"/>
    </row>
    <row r="13" spans="1:7" ht="12.75" customHeight="1">
      <c r="A13" s="131">
        <v>2</v>
      </c>
      <c r="B13" s="131" t="s">
        <v>1212</v>
      </c>
      <c r="C13" s="135">
        <f>59494.31-2617.35</f>
        <v>56876.96</v>
      </c>
      <c r="D13" s="139" t="s">
        <v>1213</v>
      </c>
      <c r="E13" s="139" t="s">
        <v>1214</v>
      </c>
      <c r="F13" s="131"/>
      <c r="G13" s="138"/>
    </row>
    <row r="14" spans="1:7" ht="12.75" customHeight="1">
      <c r="A14" s="131">
        <v>3</v>
      </c>
      <c r="B14" s="131" t="s">
        <v>1215</v>
      </c>
      <c r="C14" s="135">
        <f>790222.84-323954.54</f>
        <v>466268.3</v>
      </c>
      <c r="D14" s="131" t="s">
        <v>1216</v>
      </c>
      <c r="E14" s="139" t="s">
        <v>1217</v>
      </c>
      <c r="F14" s="131"/>
      <c r="G14" s="138"/>
    </row>
    <row r="15" spans="1:7" ht="12.75" customHeight="1">
      <c r="A15" s="131">
        <v>4</v>
      </c>
      <c r="B15" s="131" t="s">
        <v>1218</v>
      </c>
      <c r="C15" s="135">
        <f>6258557.73-1376730.05</f>
        <v>4881827.680000001</v>
      </c>
      <c r="D15" s="131" t="s">
        <v>1219</v>
      </c>
      <c r="E15" s="136" t="s">
        <v>1220</v>
      </c>
      <c r="F15" s="135">
        <f>SUM(F16+F17)</f>
        <v>-3981666.7800000003</v>
      </c>
      <c r="G15" s="138"/>
    </row>
    <row r="16" spans="1:7" ht="12.75" customHeight="1">
      <c r="A16" s="131">
        <v>5</v>
      </c>
      <c r="B16" s="131" t="s">
        <v>1221</v>
      </c>
      <c r="C16" s="135">
        <f>1454506.79-222870.97</f>
        <v>1231635.82</v>
      </c>
      <c r="D16" s="140">
        <v>1</v>
      </c>
      <c r="E16" s="139" t="s">
        <v>1222</v>
      </c>
      <c r="F16" s="135">
        <f>-1483669.04-2823008.99</f>
        <v>-4306678.03</v>
      </c>
      <c r="G16" s="138"/>
    </row>
    <row r="17" spans="1:7" ht="12.75" customHeight="1">
      <c r="A17" s="131">
        <v>6</v>
      </c>
      <c r="B17" s="131" t="s">
        <v>1223</v>
      </c>
      <c r="C17" s="135">
        <v>14076.62</v>
      </c>
      <c r="D17" s="140">
        <v>2</v>
      </c>
      <c r="E17" s="139" t="s">
        <v>1224</v>
      </c>
      <c r="F17" s="137">
        <v>325011.25</v>
      </c>
      <c r="G17" s="138"/>
    </row>
    <row r="18" spans="1:7" ht="12.75" customHeight="1">
      <c r="A18" s="131">
        <v>7</v>
      </c>
      <c r="B18" s="131" t="s">
        <v>1225</v>
      </c>
      <c r="C18" s="135"/>
      <c r="D18" s="131" t="s">
        <v>1226</v>
      </c>
      <c r="E18" s="136" t="s">
        <v>508</v>
      </c>
      <c r="F18" s="135">
        <f>SUM(F19:F21)</f>
        <v>52339.53000000035</v>
      </c>
      <c r="G18" s="138"/>
    </row>
    <row r="19" spans="1:7" ht="18" customHeight="1">
      <c r="A19" s="131" t="s">
        <v>1200</v>
      </c>
      <c r="B19" s="134" t="s">
        <v>509</v>
      </c>
      <c r="C19" s="135">
        <f>SUM(C20:C23)</f>
        <v>0</v>
      </c>
      <c r="D19" s="131">
        <v>1</v>
      </c>
      <c r="E19" s="139" t="s">
        <v>510</v>
      </c>
      <c r="F19" s="137">
        <f>C85</f>
        <v>52339.53000000035</v>
      </c>
      <c r="G19" s="138"/>
    </row>
    <row r="20" spans="1:7" ht="12.75" customHeight="1">
      <c r="A20" s="131">
        <v>1</v>
      </c>
      <c r="B20" s="131" t="s">
        <v>511</v>
      </c>
      <c r="C20" s="135">
        <f>1089320-1089320</f>
        <v>0</v>
      </c>
      <c r="D20" s="131">
        <v>2</v>
      </c>
      <c r="E20" s="139" t="s">
        <v>512</v>
      </c>
      <c r="F20" s="137">
        <f>F85</f>
        <v>0</v>
      </c>
      <c r="G20" s="138"/>
    </row>
    <row r="21" spans="1:7" ht="12.75" customHeight="1">
      <c r="A21" s="131">
        <v>2</v>
      </c>
      <c r="B21" s="131" t="s">
        <v>513</v>
      </c>
      <c r="C21" s="135"/>
      <c r="D21" s="131">
        <v>3</v>
      </c>
      <c r="E21" s="139" t="s">
        <v>514</v>
      </c>
      <c r="F21" s="137"/>
      <c r="G21" s="138"/>
    </row>
    <row r="22" spans="1:7" ht="18" customHeight="1">
      <c r="A22" s="131">
        <v>3</v>
      </c>
      <c r="B22" s="131" t="s">
        <v>515</v>
      </c>
      <c r="C22" s="135"/>
      <c r="D22" s="134" t="s">
        <v>390</v>
      </c>
      <c r="E22" s="136" t="s">
        <v>516</v>
      </c>
      <c r="F22" s="137">
        <f>SUM(F23+F24)</f>
        <v>203279.21</v>
      </c>
      <c r="G22" s="138"/>
    </row>
    <row r="23" spans="1:7" ht="12.75" customHeight="1">
      <c r="A23" s="131">
        <v>4</v>
      </c>
      <c r="B23" s="131" t="s">
        <v>517</v>
      </c>
      <c r="C23" s="135"/>
      <c r="D23" s="131">
        <v>1</v>
      </c>
      <c r="E23" s="139" t="s">
        <v>518</v>
      </c>
      <c r="F23" s="137"/>
      <c r="G23" s="138"/>
    </row>
    <row r="24" spans="1:7" ht="12.75" customHeight="1">
      <c r="A24" s="131" t="s">
        <v>519</v>
      </c>
      <c r="B24" s="134" t="s">
        <v>520</v>
      </c>
      <c r="C24" s="135"/>
      <c r="D24" s="140">
        <v>2</v>
      </c>
      <c r="E24" s="139" t="s">
        <v>521</v>
      </c>
      <c r="F24" s="137">
        <v>203279.21</v>
      </c>
      <c r="G24" s="138"/>
    </row>
    <row r="25" spans="1:7" ht="18" customHeight="1">
      <c r="A25" s="134" t="s">
        <v>390</v>
      </c>
      <c r="B25" s="134" t="s">
        <v>522</v>
      </c>
      <c r="C25" s="135">
        <f>SUM(C26+C32+C38+C41)</f>
        <v>8223032.200000001</v>
      </c>
      <c r="D25" s="136" t="s">
        <v>391</v>
      </c>
      <c r="E25" s="136" t="s">
        <v>523</v>
      </c>
      <c r="F25" s="137">
        <f>SUM(F26:F28)</f>
        <v>3289320</v>
      </c>
      <c r="G25" s="138"/>
    </row>
    <row r="26" spans="1:6" ht="12.75">
      <c r="A26" s="131" t="s">
        <v>1193</v>
      </c>
      <c r="B26" s="134" t="s">
        <v>524</v>
      </c>
      <c r="C26" s="135">
        <f>SUM(C27:C31)</f>
        <v>113993.22</v>
      </c>
      <c r="D26" s="131">
        <v>1</v>
      </c>
      <c r="E26" s="131" t="s">
        <v>525</v>
      </c>
      <c r="F26" s="131"/>
    </row>
    <row r="27" spans="1:6" ht="12.75">
      <c r="A27" s="131">
        <v>1</v>
      </c>
      <c r="B27" s="131" t="s">
        <v>526</v>
      </c>
      <c r="C27" s="135">
        <v>113993.22</v>
      </c>
      <c r="D27" s="131">
        <v>2</v>
      </c>
      <c r="E27" s="131" t="s">
        <v>527</v>
      </c>
      <c r="F27" s="137">
        <v>2200000</v>
      </c>
    </row>
    <row r="28" spans="1:6" ht="12.75">
      <c r="A28" s="131">
        <v>2</v>
      </c>
      <c r="B28" s="131" t="s">
        <v>528</v>
      </c>
      <c r="C28" s="135"/>
      <c r="D28" s="131">
        <v>3</v>
      </c>
      <c r="E28" s="131" t="s">
        <v>529</v>
      </c>
      <c r="F28" s="137">
        <v>1089320</v>
      </c>
    </row>
    <row r="29" spans="1:6" ht="12.75">
      <c r="A29" s="131">
        <v>3</v>
      </c>
      <c r="B29" s="131" t="s">
        <v>530</v>
      </c>
      <c r="C29" s="135"/>
      <c r="D29" s="134" t="s">
        <v>531</v>
      </c>
      <c r="E29" s="134" t="s">
        <v>532</v>
      </c>
      <c r="F29" s="135">
        <f>SUM(F31+F41)</f>
        <v>8022126.63</v>
      </c>
    </row>
    <row r="30" spans="1:6" ht="12.75">
      <c r="A30" s="131">
        <v>4</v>
      </c>
      <c r="B30" s="131" t="s">
        <v>533</v>
      </c>
      <c r="C30" s="135"/>
      <c r="D30" s="131"/>
      <c r="E30" s="134" t="s">
        <v>534</v>
      </c>
      <c r="F30" s="135"/>
    </row>
    <row r="31" spans="1:6" ht="12.75">
      <c r="A31" s="131">
        <v>5</v>
      </c>
      <c r="B31" s="131" t="s">
        <v>535</v>
      </c>
      <c r="C31" s="135"/>
      <c r="D31" s="131" t="s">
        <v>1193</v>
      </c>
      <c r="E31" s="134" t="s">
        <v>536</v>
      </c>
      <c r="F31" s="135">
        <f>SUM(F32:F40)</f>
        <v>7400941.53</v>
      </c>
    </row>
    <row r="32" spans="1:6" ht="12.75">
      <c r="A32" s="131" t="s">
        <v>1197</v>
      </c>
      <c r="B32" s="134" t="s">
        <v>537</v>
      </c>
      <c r="C32" s="135">
        <f>SUM(C33:C37)</f>
        <v>6397692.660000001</v>
      </c>
      <c r="D32" s="131">
        <v>1</v>
      </c>
      <c r="E32" s="131" t="s">
        <v>538</v>
      </c>
      <c r="F32" s="135"/>
    </row>
    <row r="33" spans="1:6" ht="12.75">
      <c r="A33" s="131">
        <v>1</v>
      </c>
      <c r="B33" s="131" t="s">
        <v>539</v>
      </c>
      <c r="C33" s="135">
        <f>6256346.12+26283.73-0.06</f>
        <v>6282629.790000001</v>
      </c>
      <c r="D33" s="131">
        <v>2</v>
      </c>
      <c r="E33" s="131" t="s">
        <v>540</v>
      </c>
      <c r="F33" s="135">
        <v>510750</v>
      </c>
    </row>
    <row r="34" spans="1:6" ht="12.75">
      <c r="A34" s="131">
        <v>2</v>
      </c>
      <c r="B34" s="131" t="s">
        <v>541</v>
      </c>
      <c r="C34" s="135"/>
      <c r="D34" s="131">
        <v>3</v>
      </c>
      <c r="E34" s="131" t="s">
        <v>542</v>
      </c>
      <c r="F34" s="135"/>
    </row>
    <row r="35" spans="1:6" ht="12.75">
      <c r="A35" s="131">
        <v>3</v>
      </c>
      <c r="B35" s="131" t="s">
        <v>543</v>
      </c>
      <c r="C35" s="135"/>
      <c r="D35" s="131">
        <v>4</v>
      </c>
      <c r="E35" s="131" t="s">
        <v>544</v>
      </c>
      <c r="F35" s="135">
        <f>347584.57+85.4</f>
        <v>347669.97000000003</v>
      </c>
    </row>
    <row r="36" spans="1:6" ht="12.75">
      <c r="A36" s="131">
        <v>4</v>
      </c>
      <c r="B36" s="131" t="s">
        <v>545</v>
      </c>
      <c r="C36" s="135">
        <v>115062.87</v>
      </c>
      <c r="D36" s="131">
        <v>5</v>
      </c>
      <c r="E36" s="131" t="s">
        <v>546</v>
      </c>
      <c r="F36" s="135"/>
    </row>
    <row r="37" spans="1:6" ht="12.75">
      <c r="A37" s="131">
        <v>5</v>
      </c>
      <c r="B37" s="131" t="s">
        <v>547</v>
      </c>
      <c r="C37" s="135"/>
      <c r="D37" s="131">
        <v>6</v>
      </c>
      <c r="E37" s="131" t="s">
        <v>548</v>
      </c>
      <c r="F37" s="135">
        <f>3494439.28-0.01</f>
        <v>3494439.27</v>
      </c>
    </row>
    <row r="38" spans="1:6" ht="12.75">
      <c r="A38" s="131" t="s">
        <v>1200</v>
      </c>
      <c r="B38" s="134" t="s">
        <v>549</v>
      </c>
      <c r="C38" s="135">
        <f>SUM(C39+C40)</f>
        <v>0</v>
      </c>
      <c r="D38" s="131">
        <v>7</v>
      </c>
      <c r="E38" s="131" t="s">
        <v>550</v>
      </c>
      <c r="F38" s="135">
        <v>1946136.39</v>
      </c>
    </row>
    <row r="39" spans="1:6" ht="12.75">
      <c r="A39" s="131">
        <v>1</v>
      </c>
      <c r="B39" s="131" t="s">
        <v>551</v>
      </c>
      <c r="C39" s="135"/>
      <c r="D39" s="131">
        <v>8</v>
      </c>
      <c r="E39" s="131" t="s">
        <v>552</v>
      </c>
      <c r="F39" s="135">
        <f>47485.69-18103.89+22564.1</f>
        <v>51945.9</v>
      </c>
    </row>
    <row r="40" spans="1:6" ht="12.75">
      <c r="A40" s="131">
        <v>2</v>
      </c>
      <c r="B40" s="131" t="s">
        <v>553</v>
      </c>
      <c r="C40" s="135"/>
      <c r="D40" s="131">
        <v>9</v>
      </c>
      <c r="E40" s="131" t="s">
        <v>554</v>
      </c>
      <c r="F40" s="135">
        <f>1050000</f>
        <v>1050000</v>
      </c>
    </row>
    <row r="41" spans="1:6" ht="12.75">
      <c r="A41" s="131" t="s">
        <v>519</v>
      </c>
      <c r="B41" s="134" t="s">
        <v>555</v>
      </c>
      <c r="C41" s="135">
        <f>SUM(C42:C44)</f>
        <v>1711346.3199999998</v>
      </c>
      <c r="D41" s="131" t="s">
        <v>1197</v>
      </c>
      <c r="E41" s="134" t="s">
        <v>556</v>
      </c>
      <c r="F41" s="135">
        <v>621185.1</v>
      </c>
    </row>
    <row r="42" spans="1:6" ht="12.75">
      <c r="A42" s="131">
        <v>1</v>
      </c>
      <c r="B42" s="131" t="s">
        <v>557</v>
      </c>
      <c r="C42" s="135">
        <f>11659.9+2734.04</f>
        <v>14393.939999999999</v>
      </c>
      <c r="D42" s="131"/>
      <c r="E42" s="131"/>
      <c r="F42" s="135"/>
    </row>
    <row r="43" spans="1:6" ht="12.75">
      <c r="A43" s="131">
        <v>2</v>
      </c>
      <c r="B43" s="131" t="s">
        <v>558</v>
      </c>
      <c r="C43" s="135">
        <f>146621.49+1550000+330.89</f>
        <v>1696952.38</v>
      </c>
      <c r="D43" s="131"/>
      <c r="E43" s="131"/>
      <c r="F43" s="135"/>
    </row>
    <row r="44" spans="1:6" ht="12.75">
      <c r="A44" s="131">
        <v>3</v>
      </c>
      <c r="B44" s="131" t="s">
        <v>559</v>
      </c>
      <c r="C44" s="135"/>
      <c r="D44" s="134" t="s">
        <v>560</v>
      </c>
      <c r="E44" s="134" t="s">
        <v>561</v>
      </c>
      <c r="F44" s="135">
        <f>SUM(F46+F47)</f>
        <v>0</v>
      </c>
    </row>
    <row r="45" spans="1:6" ht="12.75">
      <c r="A45" s="134" t="s">
        <v>391</v>
      </c>
      <c r="B45" s="134" t="s">
        <v>561</v>
      </c>
      <c r="C45" s="135">
        <f>SUM(C46+C47)</f>
        <v>1147102.6199999999</v>
      </c>
      <c r="D45" s="131"/>
      <c r="E45" s="134" t="s">
        <v>562</v>
      </c>
      <c r="F45" s="135"/>
    </row>
    <row r="46" spans="1:6" ht="12.75">
      <c r="A46" s="131">
        <v>1</v>
      </c>
      <c r="B46" s="131" t="s">
        <v>563</v>
      </c>
      <c r="C46" s="135">
        <f>1139827.47+7275.15</f>
        <v>1147102.6199999999</v>
      </c>
      <c r="D46" s="131">
        <v>1</v>
      </c>
      <c r="E46" s="131" t="s">
        <v>564</v>
      </c>
      <c r="F46" s="135"/>
    </row>
    <row r="47" spans="1:6" ht="12.75">
      <c r="A47" s="131">
        <v>2</v>
      </c>
      <c r="B47" s="131" t="s">
        <v>565</v>
      </c>
      <c r="C47" s="135"/>
      <c r="D47" s="131">
        <v>2</v>
      </c>
      <c r="E47" s="131" t="s">
        <v>566</v>
      </c>
      <c r="F47" s="135"/>
    </row>
    <row r="48" spans="1:6" ht="26.25" customHeight="1">
      <c r="A48" s="131"/>
      <c r="B48" s="132" t="s">
        <v>567</v>
      </c>
      <c r="C48" s="135">
        <f>SUM(C4+C25+C45)</f>
        <v>17085398.590000004</v>
      </c>
      <c r="D48" s="131"/>
      <c r="E48" s="132" t="s">
        <v>568</v>
      </c>
      <c r="F48" s="135">
        <f>SUM(F4+F22+F25+F29+F44)</f>
        <v>17085398.59</v>
      </c>
    </row>
    <row r="49" spans="1:6" ht="12.75" customHeight="1">
      <c r="A49" s="142"/>
      <c r="B49" s="143"/>
      <c r="C49" s="144"/>
      <c r="D49" s="142"/>
      <c r="E49" s="143"/>
      <c r="F49" s="144"/>
    </row>
    <row r="50" spans="1:6" ht="12.75">
      <c r="A50" s="145"/>
      <c r="B50" s="145" t="s">
        <v>569</v>
      </c>
      <c r="C50" s="145"/>
      <c r="D50" s="145"/>
      <c r="E50" s="145"/>
      <c r="F50" s="145"/>
    </row>
    <row r="51" ht="17.25" customHeight="1">
      <c r="C51" s="146">
        <f>C48-F48</f>
        <v>0</v>
      </c>
    </row>
    <row r="52" ht="17.25" customHeight="1"/>
    <row r="53" ht="17.25" customHeight="1"/>
    <row r="54" ht="17.25" customHeight="1"/>
    <row r="55" ht="17.25" customHeight="1"/>
    <row r="59" spans="1:6" ht="15.75">
      <c r="A59" s="147"/>
      <c r="B59" s="148" t="s">
        <v>570</v>
      </c>
      <c r="C59" s="149"/>
      <c r="D59" s="147"/>
      <c r="E59" s="148"/>
      <c r="F59" s="147"/>
    </row>
    <row r="60" spans="1:6" ht="23.25" customHeight="1">
      <c r="A60" s="150"/>
      <c r="B60" s="151" t="s">
        <v>571</v>
      </c>
      <c r="C60" s="151" t="s">
        <v>1190</v>
      </c>
      <c r="D60" s="150"/>
      <c r="E60" s="151" t="s">
        <v>572</v>
      </c>
      <c r="F60" s="151" t="str">
        <f>C60</f>
        <v>30.06.2001</v>
      </c>
    </row>
    <row r="61" spans="1:6" ht="18" customHeight="1">
      <c r="A61" s="152" t="s">
        <v>389</v>
      </c>
      <c r="B61" s="153" t="s">
        <v>573</v>
      </c>
      <c r="C61" s="154">
        <f>SUM(C62:C69)</f>
        <v>27228805.73</v>
      </c>
      <c r="D61" s="152" t="s">
        <v>389</v>
      </c>
      <c r="E61" s="152" t="s">
        <v>574</v>
      </c>
      <c r="F61" s="155">
        <f>SUM(F62:F65)</f>
        <v>27372672.55</v>
      </c>
    </row>
    <row r="62" spans="1:6" ht="18" customHeight="1">
      <c r="A62" s="150" t="s">
        <v>1193</v>
      </c>
      <c r="B62" s="150" t="s">
        <v>575</v>
      </c>
      <c r="C62" s="156">
        <v>24775</v>
      </c>
      <c r="D62" s="150" t="s">
        <v>1193</v>
      </c>
      <c r="E62" s="150" t="s">
        <v>576</v>
      </c>
      <c r="F62" s="156">
        <f>17872811.98+5703380.3+142882.66+1835837.57+122420+838203.04+857137.05-0.05</f>
        <v>27372672.55</v>
      </c>
    </row>
    <row r="63" spans="1:6" ht="18" customHeight="1">
      <c r="A63" s="150" t="s">
        <v>1197</v>
      </c>
      <c r="B63" s="150" t="s">
        <v>577</v>
      </c>
      <c r="C63" s="156">
        <v>1235033.58</v>
      </c>
      <c r="D63" s="150" t="s">
        <v>1197</v>
      </c>
      <c r="E63" s="150" t="s">
        <v>102</v>
      </c>
      <c r="F63" s="156"/>
    </row>
    <row r="64" spans="1:6" ht="18" customHeight="1">
      <c r="A64" s="150" t="s">
        <v>1200</v>
      </c>
      <c r="B64" s="150" t="s">
        <v>104</v>
      </c>
      <c r="C64" s="156">
        <f>1831750.68+30</f>
        <v>1831780.68</v>
      </c>
      <c r="D64" s="150" t="s">
        <v>1200</v>
      </c>
      <c r="E64" s="150" t="s">
        <v>578</v>
      </c>
      <c r="F64" s="156"/>
    </row>
    <row r="65" spans="1:6" ht="18" customHeight="1">
      <c r="A65" s="150" t="s">
        <v>1213</v>
      </c>
      <c r="B65" s="150" t="s">
        <v>105</v>
      </c>
      <c r="C65" s="156">
        <v>153558.67</v>
      </c>
      <c r="D65" s="150" t="s">
        <v>1213</v>
      </c>
      <c r="E65" s="150" t="s">
        <v>579</v>
      </c>
      <c r="F65" s="156"/>
    </row>
    <row r="66" spans="1:6" ht="18" customHeight="1">
      <c r="A66" s="150" t="s">
        <v>1216</v>
      </c>
      <c r="B66" s="150" t="s">
        <v>580</v>
      </c>
      <c r="C66" s="156">
        <v>18387706.3</v>
      </c>
      <c r="D66" s="150"/>
      <c r="E66" s="150"/>
      <c r="F66" s="156"/>
    </row>
    <row r="67" spans="1:6" ht="18" customHeight="1">
      <c r="A67" s="150" t="s">
        <v>1219</v>
      </c>
      <c r="B67" s="150" t="s">
        <v>581</v>
      </c>
      <c r="C67" s="156">
        <v>3639555.25</v>
      </c>
      <c r="D67" s="150"/>
      <c r="E67" s="150"/>
      <c r="F67" s="156"/>
    </row>
    <row r="68" spans="1:6" ht="18" customHeight="1">
      <c r="A68" s="150" t="s">
        <v>1226</v>
      </c>
      <c r="B68" s="150" t="s">
        <v>582</v>
      </c>
      <c r="C68" s="156">
        <v>772962.72</v>
      </c>
      <c r="D68" s="152" t="s">
        <v>390</v>
      </c>
      <c r="E68" s="152" t="s">
        <v>583</v>
      </c>
      <c r="F68" s="156"/>
    </row>
    <row r="69" spans="1:6" ht="18" customHeight="1">
      <c r="A69" s="150" t="s">
        <v>584</v>
      </c>
      <c r="B69" s="150" t="s">
        <v>585</v>
      </c>
      <c r="C69" s="156">
        <f>643853.55+4249.72+535330.26</f>
        <v>1183433.53</v>
      </c>
      <c r="D69" s="152" t="s">
        <v>391</v>
      </c>
      <c r="E69" s="152" t="s">
        <v>68</v>
      </c>
      <c r="F69" s="154">
        <f>SUM(F70:F72)</f>
        <v>111285.31</v>
      </c>
    </row>
    <row r="70" spans="1:6" ht="18" customHeight="1">
      <c r="A70" s="152" t="s">
        <v>390</v>
      </c>
      <c r="B70" s="153" t="s">
        <v>586</v>
      </c>
      <c r="C70" s="156">
        <f>SUM(F61-C61)</f>
        <v>143866.8200000003</v>
      </c>
      <c r="D70" s="150" t="s">
        <v>1193</v>
      </c>
      <c r="E70" s="150" t="s">
        <v>587</v>
      </c>
      <c r="F70" s="156">
        <v>32494.59</v>
      </c>
    </row>
    <row r="71" spans="1:6" ht="18" customHeight="1">
      <c r="A71" s="152" t="s">
        <v>391</v>
      </c>
      <c r="B71" s="153" t="s">
        <v>588</v>
      </c>
      <c r="C71" s="156">
        <f>SUM(C72+C73)</f>
        <v>23066.95</v>
      </c>
      <c r="D71" s="150" t="s">
        <v>1197</v>
      </c>
      <c r="E71" s="150" t="s">
        <v>589</v>
      </c>
      <c r="F71" s="156"/>
    </row>
    <row r="72" spans="1:6" ht="18" customHeight="1">
      <c r="A72" s="150" t="s">
        <v>1193</v>
      </c>
      <c r="B72" s="150" t="s">
        <v>590</v>
      </c>
      <c r="C72" s="156">
        <v>22089.86</v>
      </c>
      <c r="D72" s="150" t="s">
        <v>1200</v>
      </c>
      <c r="E72" s="150" t="s">
        <v>68</v>
      </c>
      <c r="F72" s="156">
        <v>78790.72</v>
      </c>
    </row>
    <row r="73" spans="1:6" ht="18" customHeight="1">
      <c r="A73" s="150" t="s">
        <v>1197</v>
      </c>
      <c r="B73" s="150" t="s">
        <v>591</v>
      </c>
      <c r="C73" s="156">
        <v>977.09</v>
      </c>
      <c r="D73" s="152" t="s">
        <v>531</v>
      </c>
      <c r="E73" s="152" t="s">
        <v>592</v>
      </c>
      <c r="F73" s="156"/>
    </row>
    <row r="74" spans="1:6" ht="18" customHeight="1">
      <c r="A74" s="152" t="s">
        <v>531</v>
      </c>
      <c r="B74" s="152" t="s">
        <v>593</v>
      </c>
      <c r="C74" s="156">
        <f>SUM(C70-C71+F69)</f>
        <v>232085.18000000028</v>
      </c>
      <c r="D74" s="150"/>
      <c r="E74" s="150"/>
      <c r="F74" s="156"/>
    </row>
    <row r="75" spans="1:6" ht="18" customHeight="1">
      <c r="A75" s="152" t="s">
        <v>560</v>
      </c>
      <c r="B75" s="153" t="s">
        <v>594</v>
      </c>
      <c r="C75" s="154">
        <f>SUM(C76:C78)</f>
        <v>319987.49</v>
      </c>
      <c r="D75" s="152" t="s">
        <v>560</v>
      </c>
      <c r="E75" s="152" t="s">
        <v>1675</v>
      </c>
      <c r="F75" s="154">
        <f>SUM(F76:F78)</f>
        <v>133848.42</v>
      </c>
    </row>
    <row r="76" spans="1:6" ht="12.75">
      <c r="A76" s="150" t="s">
        <v>1193</v>
      </c>
      <c r="B76" s="150" t="s">
        <v>595</v>
      </c>
      <c r="C76" s="156"/>
      <c r="D76" s="150" t="s">
        <v>1193</v>
      </c>
      <c r="E76" s="150" t="s">
        <v>596</v>
      </c>
      <c r="F76" s="156"/>
    </row>
    <row r="77" spans="1:6" ht="12.75">
      <c r="A77" s="150" t="s">
        <v>1197</v>
      </c>
      <c r="B77" s="150" t="s">
        <v>597</v>
      </c>
      <c r="C77" s="156">
        <f>319986.29+1.2</f>
        <v>319987.49</v>
      </c>
      <c r="D77" s="150" t="s">
        <v>1197</v>
      </c>
      <c r="E77" s="150" t="s">
        <v>598</v>
      </c>
      <c r="F77" s="156">
        <v>133848.42</v>
      </c>
    </row>
    <row r="78" spans="1:6" ht="12.75">
      <c r="A78" s="150" t="s">
        <v>1200</v>
      </c>
      <c r="B78" s="150" t="s">
        <v>93</v>
      </c>
      <c r="C78" s="156"/>
      <c r="D78" s="150" t="s">
        <v>1200</v>
      </c>
      <c r="E78" s="150" t="s">
        <v>599</v>
      </c>
      <c r="F78" s="156"/>
    </row>
    <row r="79" spans="1:6" ht="18" customHeight="1">
      <c r="A79" s="152" t="s">
        <v>600</v>
      </c>
      <c r="B79" s="152" t="s">
        <v>601</v>
      </c>
      <c r="C79" s="156">
        <f>C74+F75-C75</f>
        <v>45946.110000000335</v>
      </c>
      <c r="D79" s="152" t="s">
        <v>600</v>
      </c>
      <c r="E79" s="152" t="s">
        <v>602</v>
      </c>
      <c r="F79" s="156"/>
    </row>
    <row r="80" spans="1:6" ht="18" customHeight="1">
      <c r="A80" s="152" t="s">
        <v>603</v>
      </c>
      <c r="B80" s="150" t="s">
        <v>95</v>
      </c>
      <c r="C80" s="154">
        <v>49846.31</v>
      </c>
      <c r="D80" s="152" t="s">
        <v>603</v>
      </c>
      <c r="E80" s="152" t="s">
        <v>72</v>
      </c>
      <c r="F80" s="154">
        <v>56239.73</v>
      </c>
    </row>
    <row r="81" spans="1:6" ht="18" customHeight="1">
      <c r="A81" s="152" t="s">
        <v>604</v>
      </c>
      <c r="B81" s="152" t="s">
        <v>605</v>
      </c>
      <c r="C81" s="154">
        <f>C79+F80-C80</f>
        <v>52339.53000000035</v>
      </c>
      <c r="D81" s="152" t="s">
        <v>604</v>
      </c>
      <c r="E81" s="152" t="s">
        <v>606</v>
      </c>
      <c r="F81" s="156"/>
    </row>
    <row r="82" spans="1:6" ht="18" customHeight="1">
      <c r="A82" s="150" t="s">
        <v>1193</v>
      </c>
      <c r="B82" s="150" t="s">
        <v>607</v>
      </c>
      <c r="C82" s="156">
        <f>SUM(C83:C84)</f>
        <v>0</v>
      </c>
      <c r="D82" s="150"/>
      <c r="E82" s="150"/>
      <c r="F82" s="156"/>
    </row>
    <row r="83" spans="1:6" ht="12.75">
      <c r="A83" s="150" t="s">
        <v>1193</v>
      </c>
      <c r="B83" s="150" t="s">
        <v>608</v>
      </c>
      <c r="C83" s="156"/>
      <c r="D83" s="150"/>
      <c r="E83" s="150"/>
      <c r="F83" s="156"/>
    </row>
    <row r="84" spans="1:6" ht="12.75">
      <c r="A84" s="150" t="s">
        <v>1197</v>
      </c>
      <c r="B84" s="150" t="s">
        <v>609</v>
      </c>
      <c r="C84" s="156"/>
      <c r="D84" s="150"/>
      <c r="E84" s="150"/>
      <c r="F84" s="156"/>
    </row>
    <row r="85" spans="1:6" ht="19.5" customHeight="1">
      <c r="A85" s="152" t="s">
        <v>610</v>
      </c>
      <c r="B85" s="152" t="s">
        <v>611</v>
      </c>
      <c r="C85" s="156">
        <f>C81-C83-C84</f>
        <v>52339.53000000035</v>
      </c>
      <c r="D85" s="152" t="s">
        <v>1193</v>
      </c>
      <c r="E85" s="152" t="s">
        <v>612</v>
      </c>
      <c r="F85" s="156"/>
    </row>
    <row r="86" spans="1:6" ht="12.75">
      <c r="A86" s="147"/>
      <c r="B86" s="147" t="s">
        <v>613</v>
      </c>
      <c r="C86" s="147"/>
      <c r="D86" s="147"/>
      <c r="E86" s="147"/>
      <c r="F86" s="147"/>
    </row>
    <row r="87" spans="1:6" ht="12.75">
      <c r="A87" s="147"/>
      <c r="B87" s="147"/>
      <c r="C87" s="149"/>
      <c r="D87" s="147"/>
      <c r="E87" s="147"/>
      <c r="F87" s="147"/>
    </row>
    <row r="88" ht="12.75">
      <c r="C88" s="146"/>
    </row>
    <row r="89" ht="12.75">
      <c r="C89" s="146"/>
    </row>
    <row r="90" ht="12.75">
      <c r="C90" s="146"/>
    </row>
    <row r="91" ht="12.75">
      <c r="C91" s="146"/>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159"/>
  <sheetViews>
    <sheetView workbookViewId="0" topLeftCell="A1">
      <selection activeCell="D2" sqref="D2"/>
    </sheetView>
  </sheetViews>
  <sheetFormatPr defaultColWidth="9.140625" defaultRowHeight="12.75"/>
  <cols>
    <col min="1" max="1" width="7.28125" style="0" customWidth="1"/>
    <col min="2" max="2" width="27.8515625" style="0" customWidth="1"/>
    <col min="3" max="3" width="17.00390625" style="0" customWidth="1"/>
    <col min="4" max="4" width="14.421875" style="0" customWidth="1"/>
    <col min="6" max="6" width="30.00390625" style="0" customWidth="1"/>
    <col min="7" max="8" width="13.7109375" style="0" bestFit="1" customWidth="1"/>
  </cols>
  <sheetData>
    <row r="1" ht="12.75">
      <c r="B1" s="28" t="s">
        <v>1392</v>
      </c>
    </row>
    <row r="2" ht="12.75">
      <c r="D2" s="28" t="s">
        <v>505</v>
      </c>
    </row>
    <row r="3" spans="1:8" ht="25.5">
      <c r="A3" s="214"/>
      <c r="B3" s="214" t="s">
        <v>1578</v>
      </c>
      <c r="C3" s="214" t="s">
        <v>48</v>
      </c>
      <c r="D3" s="214" t="s">
        <v>49</v>
      </c>
      <c r="E3" s="214"/>
      <c r="F3" s="214" t="s">
        <v>1626</v>
      </c>
      <c r="G3" s="214" t="s">
        <v>48</v>
      </c>
      <c r="H3" s="214" t="s">
        <v>49</v>
      </c>
    </row>
    <row r="4" spans="1:8" ht="12.75">
      <c r="A4" s="215"/>
      <c r="B4" s="216"/>
      <c r="C4" s="216"/>
      <c r="D4" s="216"/>
      <c r="E4" s="217"/>
      <c r="F4" s="218"/>
      <c r="G4" s="219"/>
      <c r="H4" s="219"/>
    </row>
    <row r="5" spans="1:8" ht="12.75">
      <c r="A5" s="215" t="s">
        <v>1193</v>
      </c>
      <c r="B5" s="220" t="s">
        <v>50</v>
      </c>
      <c r="C5" s="221">
        <f>SUM(C6:C8)</f>
        <v>95400377.36</v>
      </c>
      <c r="D5" s="221">
        <f>SUM(D6:D8)</f>
        <v>88222516.18</v>
      </c>
      <c r="E5" s="217" t="s">
        <v>1193</v>
      </c>
      <c r="F5" s="222" t="s">
        <v>51</v>
      </c>
      <c r="G5" s="223">
        <f>SUM(G6:G8)+SUM(G11:G26)</f>
        <v>106632508.12</v>
      </c>
      <c r="H5" s="223">
        <f>SUM(H6:H8)+SUM(H11:H26)</f>
        <v>76581264.53</v>
      </c>
    </row>
    <row r="6" spans="1:8" ht="12.75">
      <c r="A6" s="224">
        <v>1</v>
      </c>
      <c r="B6" s="216" t="s">
        <v>52</v>
      </c>
      <c r="C6" s="225">
        <v>0</v>
      </c>
      <c r="D6" s="225">
        <v>0</v>
      </c>
      <c r="E6" s="226">
        <v>1</v>
      </c>
      <c r="F6" s="218" t="s">
        <v>53</v>
      </c>
      <c r="G6" s="227">
        <v>100088328.53</v>
      </c>
      <c r="H6" s="227">
        <v>71970766.67</v>
      </c>
    </row>
    <row r="7" spans="1:8" ht="25.5">
      <c r="A7" s="224">
        <v>2</v>
      </c>
      <c r="B7" s="216" t="s">
        <v>54</v>
      </c>
      <c r="C7" s="225">
        <v>95400377.36</v>
      </c>
      <c r="D7" s="225">
        <v>88222516.18</v>
      </c>
      <c r="E7" s="226">
        <v>2</v>
      </c>
      <c r="F7" s="218" t="s">
        <v>55</v>
      </c>
      <c r="G7" s="227">
        <v>2076347.56</v>
      </c>
      <c r="H7" s="227">
        <v>600280.2</v>
      </c>
    </row>
    <row r="8" spans="1:8" ht="38.25">
      <c r="A8" s="224">
        <v>3</v>
      </c>
      <c r="B8" s="216" t="s">
        <v>559</v>
      </c>
      <c r="C8" s="225">
        <v>0</v>
      </c>
      <c r="D8" s="225">
        <v>0</v>
      </c>
      <c r="E8" s="226">
        <v>3</v>
      </c>
      <c r="F8" s="218" t="s">
        <v>56</v>
      </c>
      <c r="G8" s="227">
        <f>G9+G10</f>
        <v>2421980.98</v>
      </c>
      <c r="H8" s="227">
        <f>H9+H10</f>
        <v>2364271.94</v>
      </c>
    </row>
    <row r="9" spans="1:8" ht="12.75">
      <c r="A9" s="215" t="s">
        <v>1197</v>
      </c>
      <c r="B9" s="220" t="s">
        <v>57</v>
      </c>
      <c r="C9" s="221">
        <f>SUM(C10:C12)+SUM(C15:C23)</f>
        <v>29057801.019999996</v>
      </c>
      <c r="D9" s="221">
        <f>SUM(D10:D12)+SUM(D15:D23)</f>
        <v>11992877.84</v>
      </c>
      <c r="E9" s="226" t="s">
        <v>921</v>
      </c>
      <c r="F9" s="218" t="s">
        <v>58</v>
      </c>
      <c r="G9" s="227">
        <v>1821404.18</v>
      </c>
      <c r="H9" s="227">
        <v>1485341.94</v>
      </c>
    </row>
    <row r="10" spans="1:8" ht="12.75">
      <c r="A10" s="224">
        <v>1</v>
      </c>
      <c r="B10" s="216" t="s">
        <v>59</v>
      </c>
      <c r="C10" s="225">
        <v>4417144.03</v>
      </c>
      <c r="D10" s="225">
        <v>816499.02</v>
      </c>
      <c r="E10" s="226"/>
      <c r="F10" s="218" t="s">
        <v>60</v>
      </c>
      <c r="G10" s="227">
        <v>600576.8</v>
      </c>
      <c r="H10" s="227">
        <v>878930</v>
      </c>
    </row>
    <row r="11" spans="1:8" ht="38.25">
      <c r="A11" s="224">
        <v>2</v>
      </c>
      <c r="B11" s="216" t="s">
        <v>1009</v>
      </c>
      <c r="C11" s="225">
        <v>164909.12</v>
      </c>
      <c r="D11" s="225">
        <v>31601.44</v>
      </c>
      <c r="E11" s="226">
        <v>4</v>
      </c>
      <c r="F11" s="218" t="s">
        <v>1010</v>
      </c>
      <c r="G11" s="227">
        <v>428070.41</v>
      </c>
      <c r="H11" s="227">
        <v>253259.71</v>
      </c>
    </row>
    <row r="12" spans="1:8" ht="38.25">
      <c r="A12" s="224">
        <v>3</v>
      </c>
      <c r="B12" s="216" t="s">
        <v>1011</v>
      </c>
      <c r="C12" s="225">
        <f>C13+C14</f>
        <v>16837841.72</v>
      </c>
      <c r="D12" s="225">
        <f>D13+D14</f>
        <v>7633600.59</v>
      </c>
      <c r="E12" s="228">
        <v>5</v>
      </c>
      <c r="F12" s="229" t="s">
        <v>1012</v>
      </c>
      <c r="G12" s="227">
        <v>362615.85</v>
      </c>
      <c r="H12" s="227">
        <v>235276.29</v>
      </c>
    </row>
    <row r="13" spans="1:8" ht="25.5">
      <c r="A13" s="224"/>
      <c r="B13" s="216" t="s">
        <v>58</v>
      </c>
      <c r="C13" s="225">
        <v>16735726.42</v>
      </c>
      <c r="D13" s="225">
        <v>7597600.59</v>
      </c>
      <c r="E13" s="228">
        <v>6</v>
      </c>
      <c r="F13" s="218" t="s">
        <v>1013</v>
      </c>
      <c r="G13" s="227">
        <v>0</v>
      </c>
      <c r="H13" s="227">
        <v>0</v>
      </c>
    </row>
    <row r="14" spans="1:8" ht="38.25">
      <c r="A14" s="224"/>
      <c r="B14" s="216" t="s">
        <v>60</v>
      </c>
      <c r="C14" s="225">
        <v>102115.3</v>
      </c>
      <c r="D14" s="225">
        <v>36000</v>
      </c>
      <c r="E14" s="228">
        <v>7</v>
      </c>
      <c r="F14" s="218" t="s">
        <v>1014</v>
      </c>
      <c r="G14" s="227">
        <v>0</v>
      </c>
      <c r="H14" s="227">
        <v>0</v>
      </c>
    </row>
    <row r="15" spans="1:8" ht="38.25">
      <c r="A15" s="224">
        <v>4</v>
      </c>
      <c r="B15" s="216" t="s">
        <v>1015</v>
      </c>
      <c r="C15" s="225">
        <v>0</v>
      </c>
      <c r="D15" s="225">
        <v>0</v>
      </c>
      <c r="E15" s="226">
        <v>8</v>
      </c>
      <c r="F15" s="229" t="s">
        <v>1016</v>
      </c>
      <c r="G15" s="227">
        <v>0</v>
      </c>
      <c r="H15" s="227">
        <v>0</v>
      </c>
    </row>
    <row r="16" spans="1:8" ht="38.25">
      <c r="A16" s="224">
        <v>5</v>
      </c>
      <c r="B16" s="216" t="s">
        <v>1017</v>
      </c>
      <c r="C16" s="230">
        <v>7431600.47</v>
      </c>
      <c r="D16" s="230">
        <v>3122597.22</v>
      </c>
      <c r="E16" s="226">
        <v>9</v>
      </c>
      <c r="F16" s="229" t="s">
        <v>1018</v>
      </c>
      <c r="G16" s="227">
        <v>0</v>
      </c>
      <c r="H16" s="227">
        <v>0</v>
      </c>
    </row>
    <row r="17" spans="1:8" ht="63.75">
      <c r="A17" s="224">
        <v>6</v>
      </c>
      <c r="B17" s="216" t="s">
        <v>1019</v>
      </c>
      <c r="C17" s="225">
        <v>33913.14</v>
      </c>
      <c r="D17" s="225">
        <v>0</v>
      </c>
      <c r="E17" s="226"/>
      <c r="F17" s="218" t="s">
        <v>1020</v>
      </c>
      <c r="G17" s="227">
        <v>0</v>
      </c>
      <c r="H17" s="227">
        <v>0</v>
      </c>
    </row>
    <row r="18" spans="1:8" ht="25.5">
      <c r="A18" s="224">
        <v>7</v>
      </c>
      <c r="B18" s="216" t="s">
        <v>1021</v>
      </c>
      <c r="C18" s="225">
        <v>0</v>
      </c>
      <c r="D18" s="225">
        <v>0</v>
      </c>
      <c r="E18" s="226"/>
      <c r="F18" s="231" t="s">
        <v>60</v>
      </c>
      <c r="G18" s="227">
        <v>0</v>
      </c>
      <c r="H18" s="227">
        <v>0</v>
      </c>
    </row>
    <row r="19" spans="1:8" ht="38.25">
      <c r="A19" s="224">
        <v>8</v>
      </c>
      <c r="B19" s="216" t="s">
        <v>1022</v>
      </c>
      <c r="C19" s="225">
        <v>0</v>
      </c>
      <c r="D19" s="225">
        <v>0</v>
      </c>
      <c r="E19" s="226">
        <v>10</v>
      </c>
      <c r="F19" s="218" t="s">
        <v>1023</v>
      </c>
      <c r="G19" s="227">
        <v>0</v>
      </c>
      <c r="H19" s="227">
        <v>0</v>
      </c>
    </row>
    <row r="20" spans="1:8" ht="38.25">
      <c r="A20" s="224">
        <v>9</v>
      </c>
      <c r="B20" s="216" t="s">
        <v>1024</v>
      </c>
      <c r="C20" s="225">
        <v>0</v>
      </c>
      <c r="D20" s="225">
        <v>0</v>
      </c>
      <c r="E20" s="226">
        <v>11</v>
      </c>
      <c r="F20" s="229" t="s">
        <v>546</v>
      </c>
      <c r="G20" s="227">
        <v>0</v>
      </c>
      <c r="H20" s="227">
        <v>0</v>
      </c>
    </row>
    <row r="21" spans="1:8" ht="25.5">
      <c r="A21" s="224">
        <v>10</v>
      </c>
      <c r="B21" s="216" t="s">
        <v>545</v>
      </c>
      <c r="C21" s="225">
        <v>172392.54</v>
      </c>
      <c r="D21" s="225">
        <v>388579.57</v>
      </c>
      <c r="E21" s="228">
        <v>12</v>
      </c>
      <c r="F21" s="229" t="s">
        <v>1025</v>
      </c>
      <c r="G21" s="232">
        <v>527562.75</v>
      </c>
      <c r="H21" s="232">
        <v>634463.43</v>
      </c>
    </row>
    <row r="22" spans="1:8" ht="38.25">
      <c r="A22" s="224">
        <v>11</v>
      </c>
      <c r="B22" s="216" t="s">
        <v>1026</v>
      </c>
      <c r="C22" s="225">
        <v>0</v>
      </c>
      <c r="D22" s="225">
        <v>0</v>
      </c>
      <c r="E22" s="228">
        <v>13</v>
      </c>
      <c r="F22" s="218" t="s">
        <v>550</v>
      </c>
      <c r="G22" s="232">
        <v>0</v>
      </c>
      <c r="H22" s="232">
        <v>0</v>
      </c>
    </row>
    <row r="23" spans="1:8" ht="63.75">
      <c r="A23" s="224">
        <v>12</v>
      </c>
      <c r="B23" s="216" t="s">
        <v>1027</v>
      </c>
      <c r="C23" s="225">
        <v>0</v>
      </c>
      <c r="D23" s="225">
        <v>0</v>
      </c>
      <c r="E23" s="226">
        <v>14</v>
      </c>
      <c r="F23" s="218" t="s">
        <v>1028</v>
      </c>
      <c r="G23" s="227">
        <v>89272.69</v>
      </c>
      <c r="H23" s="227">
        <v>42350</v>
      </c>
    </row>
    <row r="24" spans="1:8" ht="63.75">
      <c r="A24" s="215" t="s">
        <v>1200</v>
      </c>
      <c r="B24" s="220" t="s">
        <v>1029</v>
      </c>
      <c r="C24" s="221">
        <v>125004.6</v>
      </c>
      <c r="D24" s="221">
        <v>79328</v>
      </c>
      <c r="E24" s="226">
        <v>15</v>
      </c>
      <c r="F24" s="218" t="s">
        <v>1030</v>
      </c>
      <c r="G24" s="227">
        <v>0</v>
      </c>
      <c r="H24" s="227">
        <v>0</v>
      </c>
    </row>
    <row r="25" spans="1:8" ht="38.25">
      <c r="A25" s="215" t="s">
        <v>1213</v>
      </c>
      <c r="B25" s="220" t="s">
        <v>1031</v>
      </c>
      <c r="C25" s="221">
        <f>SUM(C26:C31)</f>
        <v>3230989.35</v>
      </c>
      <c r="D25" s="221">
        <f>SUM(D26:D31)</f>
        <v>5020631.45</v>
      </c>
      <c r="E25" s="228">
        <v>16</v>
      </c>
      <c r="F25" s="229" t="s">
        <v>1032</v>
      </c>
      <c r="G25" s="227">
        <v>302044.78</v>
      </c>
      <c r="H25" s="227">
        <v>387464.53</v>
      </c>
    </row>
    <row r="26" spans="1:8" ht="25.5">
      <c r="A26" s="224">
        <v>1</v>
      </c>
      <c r="B26" s="216" t="s">
        <v>1033</v>
      </c>
      <c r="C26" s="225">
        <v>3230989.35</v>
      </c>
      <c r="D26" s="225">
        <v>103230.05</v>
      </c>
      <c r="E26" s="228">
        <v>17</v>
      </c>
      <c r="F26" s="218" t="s">
        <v>1034</v>
      </c>
      <c r="G26" s="227">
        <v>336284.57</v>
      </c>
      <c r="H26" s="227">
        <v>93131.76</v>
      </c>
    </row>
    <row r="27" spans="1:8" ht="12.75">
      <c r="A27" s="224">
        <v>2</v>
      </c>
      <c r="B27" s="216" t="s">
        <v>1023</v>
      </c>
      <c r="C27" s="225">
        <v>0</v>
      </c>
      <c r="D27" s="225">
        <v>4917401.4</v>
      </c>
      <c r="E27" s="233" t="s">
        <v>1197</v>
      </c>
      <c r="F27" s="222" t="s">
        <v>1035</v>
      </c>
      <c r="G27" s="234">
        <v>0</v>
      </c>
      <c r="H27" s="234">
        <v>0</v>
      </c>
    </row>
    <row r="28" spans="1:8" ht="12.75">
      <c r="A28" s="224">
        <v>3</v>
      </c>
      <c r="B28" s="216" t="s">
        <v>1036</v>
      </c>
      <c r="C28" s="225">
        <v>0</v>
      </c>
      <c r="D28" s="225">
        <v>0</v>
      </c>
      <c r="E28" s="228">
        <v>1</v>
      </c>
      <c r="F28" s="218" t="s">
        <v>1037</v>
      </c>
      <c r="G28" s="227">
        <v>0</v>
      </c>
      <c r="H28" s="227">
        <v>0</v>
      </c>
    </row>
    <row r="29" spans="1:8" ht="25.5">
      <c r="A29" s="224">
        <v>4</v>
      </c>
      <c r="B29" s="216" t="s">
        <v>1038</v>
      </c>
      <c r="C29" s="225">
        <v>0</v>
      </c>
      <c r="D29" s="225">
        <v>0</v>
      </c>
      <c r="E29" s="228"/>
      <c r="F29" s="218" t="s">
        <v>1020</v>
      </c>
      <c r="G29" s="227">
        <v>0</v>
      </c>
      <c r="H29" s="227">
        <v>0</v>
      </c>
    </row>
    <row r="30" spans="1:8" ht="12.75">
      <c r="A30" s="224">
        <v>5</v>
      </c>
      <c r="B30" s="216" t="s">
        <v>1039</v>
      </c>
      <c r="C30" s="225">
        <v>0</v>
      </c>
      <c r="D30" s="225">
        <v>0</v>
      </c>
      <c r="E30" s="228"/>
      <c r="F30" s="218" t="s">
        <v>60</v>
      </c>
      <c r="G30" s="227">
        <v>0</v>
      </c>
      <c r="H30" s="227">
        <v>0</v>
      </c>
    </row>
    <row r="31" spans="1:8" ht="12.75">
      <c r="A31" s="224">
        <v>6</v>
      </c>
      <c r="B31" s="216" t="s">
        <v>1040</v>
      </c>
      <c r="C31" s="225">
        <v>0</v>
      </c>
      <c r="D31" s="225">
        <v>0</v>
      </c>
      <c r="E31" s="228">
        <v>2</v>
      </c>
      <c r="F31" s="218" t="s">
        <v>1041</v>
      </c>
      <c r="G31" s="227">
        <v>0</v>
      </c>
      <c r="H31" s="227">
        <v>0</v>
      </c>
    </row>
    <row r="32" spans="1:8" ht="38.25">
      <c r="A32" s="215" t="s">
        <v>1216</v>
      </c>
      <c r="B32" s="220" t="s">
        <v>1042</v>
      </c>
      <c r="C32" s="221">
        <f>SUM(C33:C41)</f>
        <v>17948651.4</v>
      </c>
      <c r="D32" s="221">
        <f>SUM(D33:D41)</f>
        <v>13737337.89</v>
      </c>
      <c r="E32" s="228"/>
      <c r="F32" s="218" t="s">
        <v>1020</v>
      </c>
      <c r="G32" s="227">
        <v>0</v>
      </c>
      <c r="H32" s="227">
        <v>0</v>
      </c>
    </row>
    <row r="33" spans="1:8" ht="12.75">
      <c r="A33" s="235">
        <v>1</v>
      </c>
      <c r="B33" s="236" t="s">
        <v>1043</v>
      </c>
      <c r="C33" s="237">
        <v>630131</v>
      </c>
      <c r="D33" s="237">
        <v>630131</v>
      </c>
      <c r="E33" s="228"/>
      <c r="F33" s="218" t="s">
        <v>60</v>
      </c>
      <c r="G33" s="227">
        <v>0</v>
      </c>
      <c r="H33" s="227">
        <v>0</v>
      </c>
    </row>
    <row r="34" spans="1:8" ht="25.5">
      <c r="A34" s="224"/>
      <c r="B34" s="216" t="s">
        <v>1044</v>
      </c>
      <c r="C34" s="225">
        <v>0</v>
      </c>
      <c r="D34" s="225">
        <v>0</v>
      </c>
      <c r="E34" s="228">
        <v>3</v>
      </c>
      <c r="F34" s="218" t="s">
        <v>1023</v>
      </c>
      <c r="G34" s="227">
        <v>0</v>
      </c>
      <c r="H34" s="227">
        <v>0</v>
      </c>
    </row>
    <row r="35" spans="1:8" ht="38.25">
      <c r="A35" s="224"/>
      <c r="B35" s="216" t="s">
        <v>1045</v>
      </c>
      <c r="C35" s="225">
        <v>0</v>
      </c>
      <c r="D35" s="225">
        <v>0</v>
      </c>
      <c r="E35" s="228">
        <v>4</v>
      </c>
      <c r="F35" s="218" t="s">
        <v>1046</v>
      </c>
      <c r="G35" s="227">
        <v>0</v>
      </c>
      <c r="H35" s="227">
        <v>0</v>
      </c>
    </row>
    <row r="36" spans="1:8" ht="25.5">
      <c r="A36" s="224"/>
      <c r="B36" s="216" t="s">
        <v>1047</v>
      </c>
      <c r="C36" s="225">
        <v>0</v>
      </c>
      <c r="D36" s="225">
        <v>0</v>
      </c>
      <c r="E36" s="228">
        <v>5</v>
      </c>
      <c r="F36" s="218" t="s">
        <v>1048</v>
      </c>
      <c r="G36" s="227">
        <v>0</v>
      </c>
      <c r="H36" s="227">
        <v>0</v>
      </c>
    </row>
    <row r="37" spans="1:8" ht="25.5">
      <c r="A37" s="224">
        <v>2</v>
      </c>
      <c r="B37" s="216" t="s">
        <v>1023</v>
      </c>
      <c r="C37" s="225">
        <v>0</v>
      </c>
      <c r="D37" s="225">
        <v>0</v>
      </c>
      <c r="E37" s="228"/>
      <c r="F37" s="218" t="s">
        <v>1020</v>
      </c>
      <c r="G37" s="227">
        <v>0</v>
      </c>
      <c r="H37" s="227">
        <v>0</v>
      </c>
    </row>
    <row r="38" spans="1:8" ht="38.25">
      <c r="A38" s="224">
        <v>3</v>
      </c>
      <c r="B38" s="216" t="s">
        <v>1049</v>
      </c>
      <c r="C38" s="225">
        <v>17318520.4</v>
      </c>
      <c r="D38" s="225">
        <v>13107206.89</v>
      </c>
      <c r="E38" s="228"/>
      <c r="F38" s="218" t="s">
        <v>60</v>
      </c>
      <c r="G38" s="227">
        <v>0</v>
      </c>
      <c r="H38" s="227">
        <v>0</v>
      </c>
    </row>
    <row r="39" spans="1:8" ht="25.5">
      <c r="A39" s="224">
        <v>4</v>
      </c>
      <c r="B39" s="216" t="s">
        <v>1036</v>
      </c>
      <c r="C39" s="225">
        <v>0</v>
      </c>
      <c r="D39" s="225">
        <v>0</v>
      </c>
      <c r="E39" s="228">
        <v>6</v>
      </c>
      <c r="F39" s="218" t="s">
        <v>529</v>
      </c>
      <c r="G39" s="227">
        <v>0</v>
      </c>
      <c r="H39" s="227">
        <v>0</v>
      </c>
    </row>
    <row r="40" spans="1:8" ht="25.5">
      <c r="A40" s="224">
        <v>5</v>
      </c>
      <c r="B40" s="216" t="s">
        <v>1039</v>
      </c>
      <c r="C40" s="225">
        <v>0</v>
      </c>
      <c r="D40" s="225">
        <v>0</v>
      </c>
      <c r="E40" s="233" t="s">
        <v>1200</v>
      </c>
      <c r="F40" s="222" t="s">
        <v>1050</v>
      </c>
      <c r="G40" s="234">
        <f>G41+G42</f>
        <v>830058.54</v>
      </c>
      <c r="H40" s="234">
        <f>H41+H42</f>
        <v>2287650.4699999997</v>
      </c>
    </row>
    <row r="41" spans="1:8" ht="25.5">
      <c r="A41" s="224">
        <v>6</v>
      </c>
      <c r="B41" s="216" t="s">
        <v>1051</v>
      </c>
      <c r="C41" s="225">
        <v>0</v>
      </c>
      <c r="D41" s="225">
        <v>0</v>
      </c>
      <c r="E41" s="228">
        <v>1</v>
      </c>
      <c r="F41" s="218" t="s">
        <v>564</v>
      </c>
      <c r="G41" s="227">
        <v>759760.74</v>
      </c>
      <c r="H41" s="227">
        <v>1063352.74</v>
      </c>
    </row>
    <row r="42" spans="1:8" ht="12.75">
      <c r="A42" s="238" t="s">
        <v>1219</v>
      </c>
      <c r="B42" s="239" t="s">
        <v>520</v>
      </c>
      <c r="C42" s="225">
        <v>0</v>
      </c>
      <c r="D42" s="225">
        <v>0</v>
      </c>
      <c r="E42" s="228">
        <v>2</v>
      </c>
      <c r="F42" s="218" t="s">
        <v>566</v>
      </c>
      <c r="G42" s="227">
        <v>70297.8</v>
      </c>
      <c r="H42" s="227">
        <v>1224297.73</v>
      </c>
    </row>
    <row r="43" spans="1:8" ht="25.5">
      <c r="A43" s="238" t="s">
        <v>1226</v>
      </c>
      <c r="B43" s="239" t="s">
        <v>515</v>
      </c>
      <c r="C43" s="225">
        <v>0</v>
      </c>
      <c r="D43" s="225">
        <v>0</v>
      </c>
      <c r="E43" s="228"/>
      <c r="F43" s="218"/>
      <c r="G43" s="227"/>
      <c r="H43" s="227"/>
    </row>
    <row r="44" spans="1:8" ht="25.5">
      <c r="A44" s="235">
        <v>1</v>
      </c>
      <c r="B44" s="240" t="s">
        <v>1052</v>
      </c>
      <c r="C44" s="241">
        <v>0</v>
      </c>
      <c r="D44" s="241">
        <v>0</v>
      </c>
      <c r="E44" s="233" t="s">
        <v>1213</v>
      </c>
      <c r="F44" s="222" t="s">
        <v>86</v>
      </c>
      <c r="G44" s="227">
        <v>0</v>
      </c>
      <c r="H44" s="227">
        <v>0</v>
      </c>
    </row>
    <row r="45" spans="1:8" ht="25.5">
      <c r="A45" s="235">
        <v>2</v>
      </c>
      <c r="B45" s="240" t="s">
        <v>1053</v>
      </c>
      <c r="C45" s="241">
        <v>0</v>
      </c>
      <c r="D45" s="241">
        <v>0</v>
      </c>
      <c r="E45" s="228">
        <v>1</v>
      </c>
      <c r="F45" s="218" t="s">
        <v>1054</v>
      </c>
      <c r="G45" s="227">
        <v>0</v>
      </c>
      <c r="H45" s="227">
        <v>0</v>
      </c>
    </row>
    <row r="46" spans="1:8" ht="25.5">
      <c r="A46" s="215" t="s">
        <v>584</v>
      </c>
      <c r="B46" s="220" t="s">
        <v>1055</v>
      </c>
      <c r="C46" s="223">
        <f>C47+C48+C49+C51+C52</f>
        <v>1726881.56</v>
      </c>
      <c r="D46" s="223">
        <f>D47+D48+D49+D51+D52</f>
        <v>1648646.5899999999</v>
      </c>
      <c r="E46" s="228">
        <v>2</v>
      </c>
      <c r="F46" s="218" t="s">
        <v>83</v>
      </c>
      <c r="G46" s="227">
        <v>0</v>
      </c>
      <c r="H46" s="227">
        <v>0</v>
      </c>
    </row>
    <row r="47" spans="1:8" ht="38.25">
      <c r="A47" s="235">
        <v>1</v>
      </c>
      <c r="B47" s="240" t="s">
        <v>1056</v>
      </c>
      <c r="C47" s="232">
        <v>138372.05</v>
      </c>
      <c r="D47" s="232">
        <v>123276.89</v>
      </c>
      <c r="E47" s="217" t="s">
        <v>1216</v>
      </c>
      <c r="F47" s="222" t="s">
        <v>1057</v>
      </c>
      <c r="G47" s="234">
        <v>0</v>
      </c>
      <c r="H47" s="234">
        <v>0</v>
      </c>
    </row>
    <row r="48" spans="1:8" ht="12.75">
      <c r="A48" s="224">
        <v>2</v>
      </c>
      <c r="B48" s="216" t="s">
        <v>1058</v>
      </c>
      <c r="C48" s="225">
        <v>0</v>
      </c>
      <c r="D48" s="225">
        <v>0</v>
      </c>
      <c r="E48" s="217" t="s">
        <v>1219</v>
      </c>
      <c r="F48" s="222" t="s">
        <v>1059</v>
      </c>
      <c r="G48" s="234">
        <f>SUM(G49:G51)+SUM(G57:G63)</f>
        <v>43898990.82</v>
      </c>
      <c r="H48" s="234">
        <f>SUM(H49:H51)+SUM(H57:H60)+H63</f>
        <v>45013648.629999995</v>
      </c>
    </row>
    <row r="49" spans="1:8" ht="38.25">
      <c r="A49" s="224">
        <v>3</v>
      </c>
      <c r="B49" s="216" t="s">
        <v>1060</v>
      </c>
      <c r="C49" s="225">
        <v>1588509.51</v>
      </c>
      <c r="D49" s="225">
        <v>1525369.7</v>
      </c>
      <c r="E49" s="228">
        <v>1</v>
      </c>
      <c r="F49" s="218" t="s">
        <v>1061</v>
      </c>
      <c r="G49" s="227">
        <v>34000000</v>
      </c>
      <c r="H49" s="227">
        <v>34000000</v>
      </c>
    </row>
    <row r="50" spans="1:8" ht="38.25">
      <c r="A50" s="224"/>
      <c r="B50" s="216" t="s">
        <v>1062</v>
      </c>
      <c r="C50" s="225">
        <v>829682.79</v>
      </c>
      <c r="D50" s="225">
        <v>896383.7</v>
      </c>
      <c r="E50" s="228">
        <v>2</v>
      </c>
      <c r="F50" s="218" t="s">
        <v>1063</v>
      </c>
      <c r="G50" s="227">
        <v>0</v>
      </c>
      <c r="H50" s="227">
        <v>0</v>
      </c>
    </row>
    <row r="51" spans="1:8" ht="25.5">
      <c r="A51" s="224">
        <v>4</v>
      </c>
      <c r="B51" s="216" t="s">
        <v>1204</v>
      </c>
      <c r="C51" s="225">
        <v>0</v>
      </c>
      <c r="D51" s="225">
        <v>0</v>
      </c>
      <c r="E51" s="228">
        <v>3</v>
      </c>
      <c r="F51" s="229" t="s">
        <v>1064</v>
      </c>
      <c r="G51" s="232">
        <f>SUM(G52:G56)</f>
        <v>4422000</v>
      </c>
      <c r="H51" s="232">
        <f>SUM(H52:H56)</f>
        <v>4861000</v>
      </c>
    </row>
    <row r="52" spans="1:8" ht="25.5">
      <c r="A52" s="224">
        <v>5</v>
      </c>
      <c r="B52" s="216" t="s">
        <v>1065</v>
      </c>
      <c r="C52" s="225">
        <v>0</v>
      </c>
      <c r="D52" s="225">
        <v>0</v>
      </c>
      <c r="E52" s="228"/>
      <c r="F52" s="218" t="s">
        <v>1066</v>
      </c>
      <c r="G52" s="227">
        <v>0</v>
      </c>
      <c r="H52" s="227">
        <v>0</v>
      </c>
    </row>
    <row r="53" spans="1:8" ht="12.75">
      <c r="A53" s="215" t="s">
        <v>1067</v>
      </c>
      <c r="B53" s="242" t="s">
        <v>1068</v>
      </c>
      <c r="C53" s="223">
        <f>C54+C59+C60</f>
        <v>3136648.71</v>
      </c>
      <c r="D53" s="223">
        <f>D54+D59+D60</f>
        <v>2877094.8200000003</v>
      </c>
      <c r="E53" s="228"/>
      <c r="F53" s="218" t="s">
        <v>1069</v>
      </c>
      <c r="G53" s="227">
        <v>0</v>
      </c>
      <c r="H53" s="227">
        <v>0</v>
      </c>
    </row>
    <row r="54" spans="1:8" ht="12.75">
      <c r="A54" s="224">
        <v>1</v>
      </c>
      <c r="B54" s="216" t="s">
        <v>1070</v>
      </c>
      <c r="C54" s="225">
        <f>SUM(C55:C58)</f>
        <v>3136648.71</v>
      </c>
      <c r="D54" s="225">
        <f>SUM(D55:D58)</f>
        <v>2877094.8200000003</v>
      </c>
      <c r="E54" s="217"/>
      <c r="F54" s="229" t="s">
        <v>1071</v>
      </c>
      <c r="G54" s="227">
        <v>4422000</v>
      </c>
      <c r="H54" s="227">
        <v>4861000</v>
      </c>
    </row>
    <row r="55" spans="1:8" ht="12.75">
      <c r="A55" s="224"/>
      <c r="B55" s="216" t="s">
        <v>1072</v>
      </c>
      <c r="C55" s="225">
        <v>0</v>
      </c>
      <c r="D55" s="225">
        <v>0</v>
      </c>
      <c r="E55" s="217"/>
      <c r="F55" s="229" t="s">
        <v>1073</v>
      </c>
      <c r="G55" s="227">
        <v>0</v>
      </c>
      <c r="H55" s="227">
        <v>0</v>
      </c>
    </row>
    <row r="56" spans="1:8" ht="12.75">
      <c r="A56" s="224"/>
      <c r="B56" s="216" t="s">
        <v>1074</v>
      </c>
      <c r="C56" s="225">
        <v>106148.06</v>
      </c>
      <c r="D56" s="225">
        <v>132339.83</v>
      </c>
      <c r="E56" s="217"/>
      <c r="F56" s="229" t="s">
        <v>1075</v>
      </c>
      <c r="G56" s="227">
        <v>0</v>
      </c>
      <c r="H56" s="227">
        <v>0</v>
      </c>
    </row>
    <row r="57" spans="1:8" ht="25.5">
      <c r="A57" s="224"/>
      <c r="B57" s="216" t="s">
        <v>1076</v>
      </c>
      <c r="C57" s="225">
        <v>1824044.11</v>
      </c>
      <c r="D57" s="225">
        <v>1589315.95</v>
      </c>
      <c r="E57" s="228">
        <v>4</v>
      </c>
      <c r="F57" s="229" t="s">
        <v>1077</v>
      </c>
      <c r="G57" s="227">
        <v>0</v>
      </c>
      <c r="H57" s="227">
        <v>0</v>
      </c>
    </row>
    <row r="58" spans="1:8" ht="12.75">
      <c r="A58" s="224" t="s">
        <v>921</v>
      </c>
      <c r="B58" s="216" t="s">
        <v>1078</v>
      </c>
      <c r="C58" s="225">
        <v>1206456.54</v>
      </c>
      <c r="D58" s="225">
        <v>1155439.04</v>
      </c>
      <c r="E58" s="228">
        <v>5</v>
      </c>
      <c r="F58" s="229" t="s">
        <v>1079</v>
      </c>
      <c r="G58" s="232">
        <v>0</v>
      </c>
      <c r="H58" s="232">
        <v>4580000</v>
      </c>
    </row>
    <row r="59" spans="1:8" ht="25.5">
      <c r="A59" s="224">
        <v>2</v>
      </c>
      <c r="B59" s="216" t="s">
        <v>1223</v>
      </c>
      <c r="C59" s="225">
        <v>0</v>
      </c>
      <c r="D59" s="225">
        <v>0</v>
      </c>
      <c r="E59" s="228">
        <v>6</v>
      </c>
      <c r="F59" s="218" t="s">
        <v>1080</v>
      </c>
      <c r="G59" s="227">
        <v>0</v>
      </c>
      <c r="H59" s="227">
        <v>0</v>
      </c>
    </row>
    <row r="60" spans="1:8" ht="25.5">
      <c r="A60" s="224">
        <v>3</v>
      </c>
      <c r="B60" s="216" t="s">
        <v>1225</v>
      </c>
      <c r="C60" s="225">
        <v>0</v>
      </c>
      <c r="D60" s="225">
        <v>0</v>
      </c>
      <c r="E60" s="228">
        <v>7</v>
      </c>
      <c r="F60" s="218" t="s">
        <v>1081</v>
      </c>
      <c r="G60" s="227">
        <v>0</v>
      </c>
      <c r="H60" s="227">
        <f>H61</f>
        <v>4.65</v>
      </c>
    </row>
    <row r="61" spans="1:8" ht="25.5">
      <c r="A61" s="215" t="s">
        <v>1082</v>
      </c>
      <c r="B61" s="220" t="s">
        <v>1083</v>
      </c>
      <c r="C61" s="223">
        <v>0</v>
      </c>
      <c r="D61" s="223">
        <v>0</v>
      </c>
      <c r="E61" s="228"/>
      <c r="F61" s="218" t="s">
        <v>1084</v>
      </c>
      <c r="G61" s="227">
        <v>0</v>
      </c>
      <c r="H61" s="227">
        <v>4.65</v>
      </c>
    </row>
    <row r="62" spans="1:8" ht="25.5">
      <c r="A62" s="215" t="s">
        <v>1085</v>
      </c>
      <c r="B62" s="220" t="s">
        <v>1086</v>
      </c>
      <c r="C62" s="223">
        <f>SUM(C63:C65)</f>
        <v>735203.48</v>
      </c>
      <c r="D62" s="223">
        <f>SUM(D63:D65)</f>
        <v>304130.86</v>
      </c>
      <c r="E62" s="228"/>
      <c r="F62" s="218" t="s">
        <v>1087</v>
      </c>
      <c r="G62" s="227">
        <v>0</v>
      </c>
      <c r="H62" s="227">
        <v>0</v>
      </c>
    </row>
    <row r="63" spans="1:8" ht="25.5">
      <c r="A63" s="224">
        <v>1</v>
      </c>
      <c r="B63" s="243" t="s">
        <v>1088</v>
      </c>
      <c r="C63" s="244">
        <v>0</v>
      </c>
      <c r="D63" s="244">
        <v>0</v>
      </c>
      <c r="E63" s="228">
        <v>8</v>
      </c>
      <c r="F63" s="218" t="s">
        <v>1089</v>
      </c>
      <c r="G63" s="227">
        <v>5476990.82</v>
      </c>
      <c r="H63" s="227">
        <v>1572643.98</v>
      </c>
    </row>
    <row r="64" spans="1:8" ht="25.5">
      <c r="A64" s="224">
        <v>2</v>
      </c>
      <c r="B64" s="216" t="s">
        <v>1090</v>
      </c>
      <c r="C64" s="225">
        <v>735203.48</v>
      </c>
      <c r="D64" s="225">
        <v>304130.86</v>
      </c>
      <c r="E64" s="228"/>
      <c r="F64" s="218"/>
      <c r="G64" s="227"/>
      <c r="H64" s="227"/>
    </row>
    <row r="65" spans="1:8" ht="12.75">
      <c r="A65" s="224"/>
      <c r="B65" s="243"/>
      <c r="C65" s="244"/>
      <c r="D65" s="244"/>
      <c r="E65" s="228"/>
      <c r="F65" s="218"/>
      <c r="G65" s="227"/>
      <c r="H65" s="227"/>
    </row>
    <row r="66" spans="1:8" ht="15.75">
      <c r="A66" s="245"/>
      <c r="B66" s="246" t="s">
        <v>1091</v>
      </c>
      <c r="C66" s="247">
        <f>C5+C9+C24+C25+C32+C46+C53+C61+C62</f>
        <v>151361557.48</v>
      </c>
      <c r="D66" s="247">
        <f>D5+D9+D24+D25+D32+D46+D53+D61+D62</f>
        <v>123882563.63000001</v>
      </c>
      <c r="E66" s="248"/>
      <c r="F66" s="249" t="s">
        <v>1092</v>
      </c>
      <c r="G66" s="250">
        <f>G5+G27+G40+G47+G48</f>
        <v>151361557.48000002</v>
      </c>
      <c r="H66" s="250">
        <f>H5+H27+H40+H47+H48</f>
        <v>123882563.63</v>
      </c>
    </row>
    <row r="68" ht="13.5" thickBot="1"/>
    <row r="69" spans="1:4" ht="42.75" thickBot="1" thickTop="1">
      <c r="A69" s="251" t="s">
        <v>1189</v>
      </c>
      <c r="B69" s="252" t="s">
        <v>1579</v>
      </c>
      <c r="C69" s="253" t="s">
        <v>1093</v>
      </c>
      <c r="D69" s="253" t="s">
        <v>1094</v>
      </c>
    </row>
    <row r="70" spans="1:4" ht="26.25" thickTop="1">
      <c r="A70" s="254" t="s">
        <v>1193</v>
      </c>
      <c r="B70" s="220" t="s">
        <v>1095</v>
      </c>
      <c r="C70" s="242">
        <f>C71+C76</f>
        <v>14350171.219999999</v>
      </c>
      <c r="D70" s="242">
        <f>D71+D76</f>
        <v>12252910.06</v>
      </c>
    </row>
    <row r="71" spans="1:4" ht="12.75">
      <c r="A71" s="220">
        <v>1</v>
      </c>
      <c r="B71" s="220" t="s">
        <v>1096</v>
      </c>
      <c r="C71" s="242">
        <f>SUM(C72:C75)</f>
        <v>11399562.83</v>
      </c>
      <c r="D71" s="242">
        <f>SUM(D72:D75)</f>
        <v>10785485.290000001</v>
      </c>
    </row>
    <row r="72" spans="1:4" ht="51">
      <c r="A72" s="255" t="s">
        <v>1097</v>
      </c>
      <c r="B72" s="216" t="s">
        <v>1098</v>
      </c>
      <c r="C72" s="225">
        <v>9833902.15</v>
      </c>
      <c r="D72" s="225">
        <v>9969977.48</v>
      </c>
    </row>
    <row r="73" spans="1:4" ht="25.5">
      <c r="A73" s="255" t="s">
        <v>1099</v>
      </c>
      <c r="B73" s="216" t="s">
        <v>1100</v>
      </c>
      <c r="C73" s="225">
        <v>0</v>
      </c>
      <c r="D73" s="225">
        <v>0</v>
      </c>
    </row>
    <row r="74" spans="1:4" ht="51">
      <c r="A74" s="255" t="s">
        <v>1101</v>
      </c>
      <c r="B74" s="216" t="s">
        <v>1102</v>
      </c>
      <c r="C74" s="225">
        <v>241993.59</v>
      </c>
      <c r="D74" s="225">
        <v>103150.5</v>
      </c>
    </row>
    <row r="75" spans="1:4" ht="12.75">
      <c r="A75" s="255" t="s">
        <v>1103</v>
      </c>
      <c r="B75" s="216" t="s">
        <v>1104</v>
      </c>
      <c r="C75" s="225">
        <v>1323667.09</v>
      </c>
      <c r="D75" s="225">
        <v>712357.31</v>
      </c>
    </row>
    <row r="76" spans="1:4" ht="12.75">
      <c r="A76" s="220">
        <v>2</v>
      </c>
      <c r="B76" s="220" t="s">
        <v>1105</v>
      </c>
      <c r="C76" s="242">
        <f>SUM(C77:C83)</f>
        <v>2950608.3899999997</v>
      </c>
      <c r="D76" s="242">
        <f>SUM(D77:D83)</f>
        <v>1467424.77</v>
      </c>
    </row>
    <row r="77" spans="1:4" ht="38.25">
      <c r="A77" s="255" t="s">
        <v>1097</v>
      </c>
      <c r="B77" s="216" t="s">
        <v>1106</v>
      </c>
      <c r="C77" s="225">
        <v>1507816.16</v>
      </c>
      <c r="D77" s="225">
        <v>993475.07</v>
      </c>
    </row>
    <row r="78" spans="1:4" ht="25.5">
      <c r="A78" s="255" t="s">
        <v>1099</v>
      </c>
      <c r="B78" s="216" t="s">
        <v>1107</v>
      </c>
      <c r="C78" s="225">
        <v>0</v>
      </c>
      <c r="D78" s="225">
        <v>265.31</v>
      </c>
    </row>
    <row r="79" spans="1:4" ht="38.25">
      <c r="A79" s="255" t="s">
        <v>1101</v>
      </c>
      <c r="B79" s="216" t="s">
        <v>1108</v>
      </c>
      <c r="C79" s="225">
        <v>1075146.85</v>
      </c>
      <c r="D79" s="225">
        <v>238037.57</v>
      </c>
    </row>
    <row r="80" spans="1:4" ht="38.25">
      <c r="A80" s="255" t="s">
        <v>1103</v>
      </c>
      <c r="B80" s="216" t="s">
        <v>1109</v>
      </c>
      <c r="C80" s="225">
        <v>0</v>
      </c>
      <c r="D80" s="225">
        <v>0</v>
      </c>
    </row>
    <row r="81" spans="1:4" ht="38.25">
      <c r="A81" s="255" t="s">
        <v>1110</v>
      </c>
      <c r="B81" s="216" t="s">
        <v>1111</v>
      </c>
      <c r="C81" s="225">
        <v>0</v>
      </c>
      <c r="D81" s="225">
        <v>0</v>
      </c>
    </row>
    <row r="82" spans="1:4" ht="51">
      <c r="A82" s="255" t="s">
        <v>1112</v>
      </c>
      <c r="B82" s="216" t="s">
        <v>1113</v>
      </c>
      <c r="C82" s="225">
        <v>0</v>
      </c>
      <c r="D82" s="225">
        <v>0</v>
      </c>
    </row>
    <row r="83" spans="1:4" ht="12.75">
      <c r="A83" s="255" t="s">
        <v>1114</v>
      </c>
      <c r="B83" s="216" t="s">
        <v>1104</v>
      </c>
      <c r="C83" s="225">
        <v>367645.38</v>
      </c>
      <c r="D83" s="225">
        <v>235646.82</v>
      </c>
    </row>
    <row r="84" spans="1:4" ht="25.5">
      <c r="A84" s="254" t="s">
        <v>1197</v>
      </c>
      <c r="B84" s="220" t="s">
        <v>1115</v>
      </c>
      <c r="C84" s="242">
        <f>SUM(C85:C97)</f>
        <v>12950128</v>
      </c>
      <c r="D84" s="242">
        <f>SUM(D85:D97)</f>
        <v>13350589.280000001</v>
      </c>
    </row>
    <row r="85" spans="1:4" ht="12.75">
      <c r="A85" s="216">
        <v>1</v>
      </c>
      <c r="B85" s="216" t="s">
        <v>1116</v>
      </c>
      <c r="C85" s="225">
        <v>0</v>
      </c>
      <c r="D85" s="225">
        <v>0</v>
      </c>
    </row>
    <row r="86" spans="1:4" ht="63.75">
      <c r="A86" s="216">
        <v>2</v>
      </c>
      <c r="B86" s="216" t="s">
        <v>1117</v>
      </c>
      <c r="C86" s="225">
        <v>2358797.69</v>
      </c>
      <c r="D86" s="225">
        <v>2692592.54</v>
      </c>
    </row>
    <row r="87" spans="1:4" ht="25.5">
      <c r="A87" s="216">
        <v>3</v>
      </c>
      <c r="B87" s="216" t="s">
        <v>161</v>
      </c>
      <c r="C87" s="225">
        <v>12000</v>
      </c>
      <c r="D87" s="225">
        <v>12000</v>
      </c>
    </row>
    <row r="88" spans="1:4" ht="12.75">
      <c r="A88" s="216">
        <v>4</v>
      </c>
      <c r="B88" s="216" t="s">
        <v>580</v>
      </c>
      <c r="C88" s="225">
        <v>4619045.2</v>
      </c>
      <c r="D88" s="225">
        <v>4795676.39</v>
      </c>
    </row>
    <row r="89" spans="1:4" ht="12.75">
      <c r="A89" s="216">
        <v>5</v>
      </c>
      <c r="B89" s="216" t="s">
        <v>162</v>
      </c>
      <c r="C89" s="225">
        <v>789452.05</v>
      </c>
      <c r="D89" s="225">
        <v>876768.15</v>
      </c>
    </row>
    <row r="90" spans="1:4" ht="25.5">
      <c r="A90" s="216">
        <v>6</v>
      </c>
      <c r="B90" s="216" t="s">
        <v>163</v>
      </c>
      <c r="C90" s="225">
        <v>192398.97</v>
      </c>
      <c r="D90" s="225">
        <v>120297.31</v>
      </c>
    </row>
    <row r="91" spans="1:4" ht="12.75">
      <c r="A91" s="216">
        <v>7</v>
      </c>
      <c r="B91" s="216" t="s">
        <v>577</v>
      </c>
      <c r="C91" s="225">
        <v>688836.37</v>
      </c>
      <c r="D91" s="225">
        <v>447533.47</v>
      </c>
    </row>
    <row r="92" spans="1:4" ht="25.5">
      <c r="A92" s="216">
        <v>8</v>
      </c>
      <c r="B92" s="216" t="s">
        <v>164</v>
      </c>
      <c r="C92" s="225">
        <v>753783.51</v>
      </c>
      <c r="D92" s="225">
        <v>529579.26</v>
      </c>
    </row>
    <row r="93" spans="1:4" ht="12.75">
      <c r="A93" s="216">
        <v>9</v>
      </c>
      <c r="B93" s="216" t="s">
        <v>165</v>
      </c>
      <c r="C93" s="225">
        <v>2100815.97</v>
      </c>
      <c r="D93" s="225">
        <v>2204718.51</v>
      </c>
    </row>
    <row r="94" spans="1:4" ht="12.75">
      <c r="A94" s="216">
        <v>10</v>
      </c>
      <c r="B94" s="216" t="s">
        <v>582</v>
      </c>
      <c r="C94" s="225">
        <v>575783.02</v>
      </c>
      <c r="D94" s="225">
        <v>635765.85</v>
      </c>
    </row>
    <row r="95" spans="1:4" ht="25.5">
      <c r="A95" s="216">
        <v>11</v>
      </c>
      <c r="B95" s="216" t="s">
        <v>166</v>
      </c>
      <c r="C95" s="225">
        <v>764731.39</v>
      </c>
      <c r="D95" s="225">
        <v>726363.96</v>
      </c>
    </row>
    <row r="96" spans="1:4" ht="12.75">
      <c r="A96" s="216">
        <v>12</v>
      </c>
      <c r="B96" s="216" t="s">
        <v>167</v>
      </c>
      <c r="C96" s="225">
        <v>33118.21</v>
      </c>
      <c r="D96" s="225">
        <v>66190.66</v>
      </c>
    </row>
    <row r="97" spans="1:4" ht="12.75">
      <c r="A97" s="256">
        <v>13</v>
      </c>
      <c r="B97" s="257" t="s">
        <v>168</v>
      </c>
      <c r="C97" s="225">
        <v>61365.62</v>
      </c>
      <c r="D97" s="225">
        <v>243103.18</v>
      </c>
    </row>
    <row r="98" spans="1:4" ht="25.5">
      <c r="A98" s="254" t="s">
        <v>1200</v>
      </c>
      <c r="B98" s="220" t="s">
        <v>169</v>
      </c>
      <c r="C98" s="242">
        <f>C70-C84</f>
        <v>1400043.2199999988</v>
      </c>
      <c r="D98" s="242">
        <f>D70-D84</f>
        <v>-1097679.2200000007</v>
      </c>
    </row>
    <row r="99" spans="1:4" ht="51">
      <c r="A99" s="254" t="s">
        <v>1213</v>
      </c>
      <c r="B99" s="220" t="s">
        <v>170</v>
      </c>
      <c r="C99" s="242">
        <f>SUM(C100:C104)</f>
        <v>10618724.299999999</v>
      </c>
      <c r="D99" s="242">
        <f>SUM(D100:D104)</f>
        <v>6095304.17</v>
      </c>
    </row>
    <row r="100" spans="1:4" ht="25.5">
      <c r="A100" s="216">
        <v>1</v>
      </c>
      <c r="B100" s="216" t="s">
        <v>171</v>
      </c>
      <c r="C100" s="225">
        <v>103985.28</v>
      </c>
      <c r="D100" s="225">
        <v>0</v>
      </c>
    </row>
    <row r="101" spans="1:4" ht="12.75">
      <c r="A101" s="216">
        <v>2</v>
      </c>
      <c r="B101" s="216" t="s">
        <v>172</v>
      </c>
      <c r="C101" s="225">
        <v>0</v>
      </c>
      <c r="D101" s="225">
        <v>0</v>
      </c>
    </row>
    <row r="102" spans="1:4" ht="12.75">
      <c r="A102" s="216">
        <v>3</v>
      </c>
      <c r="B102" s="216" t="s">
        <v>173</v>
      </c>
      <c r="C102" s="225">
        <v>0</v>
      </c>
      <c r="D102" s="225">
        <v>100106.07</v>
      </c>
    </row>
    <row r="103" spans="1:4" ht="12.75">
      <c r="A103" s="216">
        <v>4</v>
      </c>
      <c r="B103" s="216" t="s">
        <v>174</v>
      </c>
      <c r="C103" s="225">
        <v>10514739.02</v>
      </c>
      <c r="D103" s="225">
        <v>5995198.1</v>
      </c>
    </row>
    <row r="104" spans="1:4" ht="12.75">
      <c r="A104" s="258">
        <v>5</v>
      </c>
      <c r="B104" s="258" t="s">
        <v>83</v>
      </c>
      <c r="C104" s="259">
        <v>0</v>
      </c>
      <c r="D104" s="259">
        <v>0</v>
      </c>
    </row>
    <row r="105" spans="1:4" ht="51">
      <c r="A105" s="254" t="s">
        <v>1216</v>
      </c>
      <c r="B105" s="220" t="s">
        <v>175</v>
      </c>
      <c r="C105" s="242">
        <f>SUM(C106:C108)</f>
        <v>11439406.33</v>
      </c>
      <c r="D105" s="242">
        <f>SUM(D106:D108)</f>
        <v>6209539.97</v>
      </c>
    </row>
    <row r="106" spans="1:4" ht="12.75">
      <c r="A106" s="216">
        <v>1</v>
      </c>
      <c r="B106" s="216" t="s">
        <v>173</v>
      </c>
      <c r="C106" s="225">
        <v>182483.41</v>
      </c>
      <c r="D106" s="225">
        <v>436707.25</v>
      </c>
    </row>
    <row r="107" spans="1:4" ht="38.25">
      <c r="A107" s="216">
        <v>2</v>
      </c>
      <c r="B107" s="216" t="s">
        <v>176</v>
      </c>
      <c r="C107" s="225">
        <v>11256922.92</v>
      </c>
      <c r="D107" s="225">
        <v>5772832.72</v>
      </c>
    </row>
    <row r="108" spans="1:4" ht="12.75">
      <c r="A108" s="216">
        <v>3</v>
      </c>
      <c r="B108" s="216" t="s">
        <v>83</v>
      </c>
      <c r="C108" s="225">
        <v>0</v>
      </c>
      <c r="D108" s="225">
        <v>0</v>
      </c>
    </row>
    <row r="109" spans="1:4" ht="63.75">
      <c r="A109" s="254" t="s">
        <v>1219</v>
      </c>
      <c r="B109" s="220" t="s">
        <v>177</v>
      </c>
      <c r="C109" s="242">
        <f>C99-C105</f>
        <v>-820682.0300000012</v>
      </c>
      <c r="D109" s="242">
        <f>D99-D105</f>
        <v>-114235.79999999981</v>
      </c>
    </row>
    <row r="110" spans="1:4" ht="51">
      <c r="A110" s="254" t="s">
        <v>1226</v>
      </c>
      <c r="B110" s="220" t="s">
        <v>178</v>
      </c>
      <c r="C110" s="242">
        <f>SUM(C111:C116)</f>
        <v>381427.54</v>
      </c>
      <c r="D110" s="242">
        <f>SUM(D111:D116)</f>
        <v>8759687.1</v>
      </c>
    </row>
    <row r="111" spans="1:4" ht="25.5">
      <c r="A111" s="216">
        <v>1</v>
      </c>
      <c r="B111" s="216" t="s">
        <v>171</v>
      </c>
      <c r="C111" s="225">
        <v>0</v>
      </c>
      <c r="D111" s="225">
        <v>0</v>
      </c>
    </row>
    <row r="112" spans="1:4" ht="12.75">
      <c r="A112" s="216">
        <v>2</v>
      </c>
      <c r="B112" s="216" t="s">
        <v>172</v>
      </c>
      <c r="C112" s="225">
        <v>0</v>
      </c>
      <c r="D112" s="225">
        <v>0</v>
      </c>
    </row>
    <row r="113" spans="1:4" ht="12.75">
      <c r="A113" s="216">
        <v>3</v>
      </c>
      <c r="B113" s="216" t="s">
        <v>173</v>
      </c>
      <c r="C113" s="225">
        <v>0</v>
      </c>
      <c r="D113" s="225">
        <v>0</v>
      </c>
    </row>
    <row r="114" spans="1:4" ht="25.5">
      <c r="A114" s="216">
        <v>4</v>
      </c>
      <c r="B114" s="216" t="s">
        <v>179</v>
      </c>
      <c r="C114" s="225">
        <v>381427.54</v>
      </c>
      <c r="D114" s="225">
        <v>8759687.1</v>
      </c>
    </row>
    <row r="115" spans="1:4" ht="25.5">
      <c r="A115" s="216">
        <v>5</v>
      </c>
      <c r="B115" s="216" t="s">
        <v>180</v>
      </c>
      <c r="C115" s="225">
        <v>0</v>
      </c>
      <c r="D115" s="225">
        <v>0</v>
      </c>
    </row>
    <row r="116" spans="1:4" ht="12.75">
      <c r="A116" s="216">
        <v>6</v>
      </c>
      <c r="B116" s="216" t="s">
        <v>83</v>
      </c>
      <c r="C116" s="225">
        <v>0</v>
      </c>
      <c r="D116" s="225">
        <v>0</v>
      </c>
    </row>
    <row r="117" spans="1:4" ht="51">
      <c r="A117" s="254" t="s">
        <v>584</v>
      </c>
      <c r="B117" s="220" t="s">
        <v>181</v>
      </c>
      <c r="C117" s="242">
        <f>SUM(C118:C121)</f>
        <v>0</v>
      </c>
      <c r="D117" s="242">
        <f>SUM(D118:D121)</f>
        <v>9971000.61</v>
      </c>
    </row>
    <row r="118" spans="1:4" ht="12.75">
      <c r="A118" s="216">
        <v>1</v>
      </c>
      <c r="B118" s="216" t="s">
        <v>173</v>
      </c>
      <c r="C118" s="225">
        <v>0</v>
      </c>
      <c r="D118" s="225">
        <v>1675137.54</v>
      </c>
    </row>
    <row r="119" spans="1:4" ht="89.25">
      <c r="A119" s="216">
        <v>2</v>
      </c>
      <c r="B119" s="216" t="s">
        <v>182</v>
      </c>
      <c r="C119" s="225">
        <v>0</v>
      </c>
      <c r="D119" s="225">
        <v>8295863.07</v>
      </c>
    </row>
    <row r="120" spans="1:4" ht="25.5">
      <c r="A120" s="216">
        <v>3</v>
      </c>
      <c r="B120" s="216" t="s">
        <v>183</v>
      </c>
      <c r="C120" s="225">
        <v>0</v>
      </c>
      <c r="D120" s="225">
        <v>0</v>
      </c>
    </row>
    <row r="121" spans="1:4" ht="12.75">
      <c r="A121" s="216">
        <v>4</v>
      </c>
      <c r="B121" s="216" t="s">
        <v>83</v>
      </c>
      <c r="C121" s="225">
        <v>0</v>
      </c>
      <c r="D121" s="225">
        <v>0</v>
      </c>
    </row>
    <row r="122" spans="1:4" ht="63.75">
      <c r="A122" s="254" t="s">
        <v>1067</v>
      </c>
      <c r="B122" s="220" t="s">
        <v>184</v>
      </c>
      <c r="C122" s="242">
        <f>C110-C117</f>
        <v>381427.54</v>
      </c>
      <c r="D122" s="242">
        <f>D110-D117</f>
        <v>-1211313.5099999998</v>
      </c>
    </row>
    <row r="123" spans="1:4" ht="25.5">
      <c r="A123" s="254" t="s">
        <v>1082</v>
      </c>
      <c r="B123" s="220" t="s">
        <v>68</v>
      </c>
      <c r="C123" s="242">
        <f>SUM(C124:C126)</f>
        <v>631553.88</v>
      </c>
      <c r="D123" s="242">
        <f>SUM(D124:D126)</f>
        <v>561091.76</v>
      </c>
    </row>
    <row r="124" spans="1:4" ht="51">
      <c r="A124" s="260">
        <v>1</v>
      </c>
      <c r="B124" s="216" t="s">
        <v>185</v>
      </c>
      <c r="C124" s="225">
        <v>1729.48</v>
      </c>
      <c r="D124" s="225">
        <v>3062.72</v>
      </c>
    </row>
    <row r="125" spans="1:4" ht="12.75">
      <c r="A125" s="260">
        <v>2</v>
      </c>
      <c r="B125" s="216" t="s">
        <v>589</v>
      </c>
      <c r="C125" s="225">
        <v>0</v>
      </c>
      <c r="D125" s="225">
        <v>0</v>
      </c>
    </row>
    <row r="126" spans="1:4" ht="12.75">
      <c r="A126" s="260">
        <v>3</v>
      </c>
      <c r="B126" s="216" t="s">
        <v>83</v>
      </c>
      <c r="C126" s="225">
        <v>629824.4</v>
      </c>
      <c r="D126" s="225">
        <v>558029.04</v>
      </c>
    </row>
    <row r="127" spans="1:4" ht="12.75">
      <c r="A127" s="254" t="s">
        <v>1085</v>
      </c>
      <c r="B127" s="220" t="s">
        <v>588</v>
      </c>
      <c r="C127" s="242">
        <f>SUM(C128:C130)</f>
        <v>349112.21</v>
      </c>
      <c r="D127" s="242">
        <f>SUM(D128:D130)</f>
        <v>143003.19</v>
      </c>
    </row>
    <row r="128" spans="1:4" ht="51">
      <c r="A128" s="216">
        <v>1</v>
      </c>
      <c r="B128" s="216" t="s">
        <v>186</v>
      </c>
      <c r="C128" s="225">
        <v>0</v>
      </c>
      <c r="D128" s="225">
        <v>4782.4</v>
      </c>
    </row>
    <row r="129" spans="1:4" ht="25.5">
      <c r="A129" s="216">
        <v>2</v>
      </c>
      <c r="B129" s="216" t="s">
        <v>187</v>
      </c>
      <c r="C129" s="225">
        <v>0</v>
      </c>
      <c r="D129" s="225">
        <v>0</v>
      </c>
    </row>
    <row r="130" spans="1:4" ht="12.75">
      <c r="A130" s="216">
        <v>3</v>
      </c>
      <c r="B130" s="216" t="s">
        <v>83</v>
      </c>
      <c r="C130" s="225">
        <f>361112.21-12000</f>
        <v>349112.21</v>
      </c>
      <c r="D130" s="225">
        <v>138220.79</v>
      </c>
    </row>
    <row r="131" spans="1:4" ht="12.75">
      <c r="A131" s="220" t="s">
        <v>188</v>
      </c>
      <c r="B131" s="220" t="s">
        <v>189</v>
      </c>
      <c r="C131" s="242">
        <f>C132-C133</f>
        <v>-240785.26</v>
      </c>
      <c r="D131" s="242">
        <f>D132-D133</f>
        <v>-9792.3</v>
      </c>
    </row>
    <row r="132" spans="1:4" ht="12.75">
      <c r="A132" s="216">
        <v>1</v>
      </c>
      <c r="B132" s="216" t="s">
        <v>190</v>
      </c>
      <c r="C132" s="225">
        <v>2370</v>
      </c>
      <c r="D132" s="225">
        <v>26501.16</v>
      </c>
    </row>
    <row r="133" spans="1:4" ht="12.75">
      <c r="A133" s="216">
        <v>2</v>
      </c>
      <c r="B133" s="216" t="s">
        <v>191</v>
      </c>
      <c r="C133" s="225">
        <v>243155.26</v>
      </c>
      <c r="D133" s="225">
        <v>36293.46</v>
      </c>
    </row>
    <row r="134" spans="1:4" ht="38.25">
      <c r="A134" s="220" t="s">
        <v>192</v>
      </c>
      <c r="B134" s="220" t="s">
        <v>193</v>
      </c>
      <c r="C134" s="242">
        <f>C131-C127+C123+C122+C109+C98</f>
        <v>1002445.1399999976</v>
      </c>
      <c r="D134" s="242">
        <f>D131-D127+D123+D122+D109+D98</f>
        <v>-2014932.2600000002</v>
      </c>
    </row>
    <row r="135" spans="1:4" ht="12.75">
      <c r="A135" s="220" t="s">
        <v>194</v>
      </c>
      <c r="B135" s="220" t="s">
        <v>1675</v>
      </c>
      <c r="C135" s="242">
        <f>C137+C138+C139+C140</f>
        <v>7620079.41</v>
      </c>
      <c r="D135" s="242">
        <f>D137+D138+D139+D140</f>
        <v>5910301.14</v>
      </c>
    </row>
    <row r="136" spans="1:4" ht="25.5">
      <c r="A136" s="240">
        <v>1</v>
      </c>
      <c r="B136" s="240" t="s">
        <v>195</v>
      </c>
      <c r="C136" s="241"/>
      <c r="D136" s="241"/>
    </row>
    <row r="137" spans="1:4" ht="12.75">
      <c r="A137" s="216">
        <v>2</v>
      </c>
      <c r="B137" s="216" t="s">
        <v>196</v>
      </c>
      <c r="C137" s="225">
        <v>7619780.7</v>
      </c>
      <c r="D137" s="225">
        <v>5910301.14</v>
      </c>
    </row>
    <row r="138" spans="1:4" ht="12.75">
      <c r="A138" s="216">
        <v>3</v>
      </c>
      <c r="B138" s="216" t="s">
        <v>197</v>
      </c>
      <c r="C138" s="225">
        <v>298.71</v>
      </c>
      <c r="D138" s="225">
        <v>0</v>
      </c>
    </row>
    <row r="139" spans="1:4" ht="12.75">
      <c r="A139" s="216">
        <v>4</v>
      </c>
      <c r="B139" s="216" t="s">
        <v>198</v>
      </c>
      <c r="C139" s="225">
        <v>0</v>
      </c>
      <c r="D139" s="225">
        <v>0</v>
      </c>
    </row>
    <row r="140" spans="1:4" ht="12.75">
      <c r="A140" s="216">
        <v>5</v>
      </c>
      <c r="B140" s="216" t="s">
        <v>83</v>
      </c>
      <c r="C140" s="225">
        <v>0</v>
      </c>
      <c r="D140" s="225">
        <v>0</v>
      </c>
    </row>
    <row r="141" spans="1:4" ht="12.75">
      <c r="A141" s="220" t="s">
        <v>199</v>
      </c>
      <c r="B141" s="220" t="s">
        <v>594</v>
      </c>
      <c r="C141" s="242">
        <f>C142+C144+C145+C148</f>
        <v>366269.10000000003</v>
      </c>
      <c r="D141" s="242">
        <f>D142+D144+D145+D148</f>
        <v>580.02</v>
      </c>
    </row>
    <row r="142" spans="1:4" ht="25.5">
      <c r="A142" s="240">
        <v>1</v>
      </c>
      <c r="B142" s="240" t="s">
        <v>200</v>
      </c>
      <c r="C142" s="241">
        <f>C143</f>
        <v>0</v>
      </c>
      <c r="D142" s="241">
        <v>0</v>
      </c>
    </row>
    <row r="143" spans="1:4" ht="25.5">
      <c r="A143" s="240"/>
      <c r="B143" s="240" t="s">
        <v>201</v>
      </c>
      <c r="C143" s="241">
        <v>0</v>
      </c>
      <c r="D143" s="241">
        <v>0</v>
      </c>
    </row>
    <row r="144" spans="1:4" ht="12.75">
      <c r="A144" s="216">
        <v>2</v>
      </c>
      <c r="B144" s="216" t="s">
        <v>197</v>
      </c>
      <c r="C144" s="225">
        <v>8143.41</v>
      </c>
      <c r="D144" s="225">
        <v>29.43</v>
      </c>
    </row>
    <row r="145" spans="1:4" ht="12.75">
      <c r="A145" s="216">
        <v>3</v>
      </c>
      <c r="B145" s="216" t="s">
        <v>202</v>
      </c>
      <c r="C145" s="225">
        <f>C146+C147</f>
        <v>362.86</v>
      </c>
      <c r="D145" s="225">
        <v>550.59</v>
      </c>
    </row>
    <row r="146" spans="1:4" ht="12.75">
      <c r="A146" s="216"/>
      <c r="B146" s="216" t="s">
        <v>203</v>
      </c>
      <c r="C146" s="225">
        <v>362.86</v>
      </c>
      <c r="D146" s="225">
        <v>550.59</v>
      </c>
    </row>
    <row r="147" spans="1:4" ht="12.75">
      <c r="A147" s="216"/>
      <c r="B147" s="216" t="s">
        <v>204</v>
      </c>
      <c r="C147" s="225">
        <v>0</v>
      </c>
      <c r="D147" s="225">
        <v>0</v>
      </c>
    </row>
    <row r="148" spans="1:4" ht="12.75">
      <c r="A148" s="216">
        <v>4</v>
      </c>
      <c r="B148" s="216" t="s">
        <v>83</v>
      </c>
      <c r="C148" s="225">
        <v>357762.83</v>
      </c>
      <c r="D148" s="225">
        <v>0</v>
      </c>
    </row>
    <row r="149" spans="1:4" ht="25.5">
      <c r="A149" s="254" t="s">
        <v>205</v>
      </c>
      <c r="B149" s="220" t="s">
        <v>206</v>
      </c>
      <c r="C149" s="242">
        <f>C134+C135-C141</f>
        <v>8256255.449999997</v>
      </c>
      <c r="D149" s="242">
        <f>D134+D135-D141</f>
        <v>3894788.8599999994</v>
      </c>
    </row>
    <row r="150" spans="1:4" ht="12.75">
      <c r="A150" s="254" t="s">
        <v>207</v>
      </c>
      <c r="B150" s="220" t="s">
        <v>72</v>
      </c>
      <c r="C150" s="225">
        <f>C151+C152</f>
        <v>0</v>
      </c>
      <c r="D150" s="225">
        <f>D151+D152</f>
        <v>3579.02</v>
      </c>
    </row>
    <row r="151" spans="1:4" ht="12.75">
      <c r="A151" s="261">
        <v>1</v>
      </c>
      <c r="B151" s="240" t="s">
        <v>208</v>
      </c>
      <c r="C151" s="241">
        <v>0</v>
      </c>
      <c r="D151" s="241">
        <v>3579.02</v>
      </c>
    </row>
    <row r="152" spans="1:4" ht="12.75">
      <c r="A152" s="261">
        <v>2</v>
      </c>
      <c r="B152" s="240" t="s">
        <v>168</v>
      </c>
      <c r="C152" s="241">
        <v>0</v>
      </c>
      <c r="D152" s="241">
        <v>0</v>
      </c>
    </row>
    <row r="153" spans="1:4" ht="12.75">
      <c r="A153" s="254" t="s">
        <v>209</v>
      </c>
      <c r="B153" s="220" t="s">
        <v>95</v>
      </c>
      <c r="C153" s="225">
        <f>C154+C155</f>
        <v>413.63</v>
      </c>
      <c r="D153" s="225">
        <f>D154+D155</f>
        <v>649.9</v>
      </c>
    </row>
    <row r="154" spans="1:4" ht="12.75">
      <c r="A154" s="261">
        <v>1</v>
      </c>
      <c r="B154" s="240" t="s">
        <v>208</v>
      </c>
      <c r="C154" s="225">
        <v>413.63</v>
      </c>
      <c r="D154" s="225">
        <v>649.9</v>
      </c>
    </row>
    <row r="155" spans="1:4" ht="13.5" thickBot="1">
      <c r="A155" s="262">
        <v>2</v>
      </c>
      <c r="B155" s="263" t="s">
        <v>168</v>
      </c>
      <c r="C155" s="264">
        <v>0</v>
      </c>
      <c r="D155" s="264">
        <v>0</v>
      </c>
    </row>
    <row r="156" spans="1:4" ht="33" thickBot="1" thickTop="1">
      <c r="A156" s="265" t="s">
        <v>210</v>
      </c>
      <c r="B156" s="266" t="s">
        <v>211</v>
      </c>
      <c r="C156" s="267">
        <f>C149+C150-C153</f>
        <v>8255841.8199999975</v>
      </c>
      <c r="D156" s="267">
        <f>D149+D150-D153</f>
        <v>3897717.9799999995</v>
      </c>
    </row>
    <row r="157" spans="1:4" ht="13.5" thickTop="1">
      <c r="A157" s="268" t="s">
        <v>212</v>
      </c>
      <c r="B157" s="239" t="s">
        <v>213</v>
      </c>
      <c r="C157" s="241">
        <v>2778851</v>
      </c>
      <c r="D157" s="241">
        <v>2325074</v>
      </c>
    </row>
    <row r="158" spans="1:4" ht="39" thickBot="1">
      <c r="A158" s="269" t="s">
        <v>214</v>
      </c>
      <c r="B158" s="270" t="s">
        <v>215</v>
      </c>
      <c r="C158" s="271">
        <v>0</v>
      </c>
      <c r="D158" s="271">
        <v>0</v>
      </c>
    </row>
    <row r="159" spans="1:4" ht="33" thickBot="1" thickTop="1">
      <c r="A159" s="265" t="s">
        <v>216</v>
      </c>
      <c r="B159" s="266" t="s">
        <v>217</v>
      </c>
      <c r="C159" s="267">
        <f>C156-C157-C158</f>
        <v>5476990.8199999975</v>
      </c>
      <c r="D159" s="267">
        <f>D156-D157-D158</f>
        <v>1572643.9799999995</v>
      </c>
    </row>
    <row r="160" ht="13.5" thickTop="1"/>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Patyra</dc:creator>
  <cp:keywords/>
  <dc:description/>
  <cp:lastModifiedBy>PBK</cp:lastModifiedBy>
  <dcterms:created xsi:type="dcterms:W3CDTF">2001-10-29T10:25:22Z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